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aulo Ferreira\Desktop\Paulo\Livros\Livro princípios gestão financeira\Ficheiros Excel Finais\"/>
    </mc:Choice>
  </mc:AlternateContent>
  <bookViews>
    <workbookView xWindow="0" yWindow="0" windowWidth="28800" windowHeight="12435"/>
  </bookViews>
  <sheets>
    <sheet name="Folh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W78" i="1" l="1"/>
  <c r="AV41" i="1"/>
  <c r="AV42" i="1"/>
  <c r="AW42" i="1"/>
  <c r="AV44" i="1"/>
  <c r="AW44" i="1"/>
  <c r="AV187" i="1" l="1"/>
  <c r="AV172" i="1"/>
  <c r="AV168" i="1"/>
  <c r="AV147" i="1"/>
  <c r="AV160" i="1" s="1"/>
  <c r="AV146" i="1"/>
  <c r="AV159" i="1" s="1"/>
  <c r="AV145" i="1"/>
  <c r="AV158" i="1" s="1"/>
  <c r="AV137" i="1"/>
  <c r="AV155" i="1" s="1"/>
  <c r="AV136" i="1"/>
  <c r="AV154" i="1" s="1"/>
  <c r="AV128" i="1"/>
  <c r="AV186" i="1" s="1"/>
  <c r="AV127" i="1"/>
  <c r="AV185" i="1" s="1"/>
  <c r="AS126" i="1"/>
  <c r="AS125" i="1"/>
  <c r="AR105" i="1" s="1"/>
  <c r="AV116" i="1"/>
  <c r="AV173" i="1" s="1"/>
  <c r="AV112" i="1"/>
  <c r="AV169" i="1" s="1"/>
  <c r="AN115" i="1"/>
  <c r="AR87" i="1" s="1"/>
  <c r="AS87" i="1" s="1"/>
  <c r="AN114" i="1"/>
  <c r="AR78" i="1" s="1"/>
  <c r="AN113" i="1"/>
  <c r="AR107" i="1" s="1"/>
  <c r="AV103" i="1" s="1"/>
  <c r="AN112" i="1"/>
  <c r="AR106" i="1" s="1"/>
  <c r="AV102" i="1" s="1"/>
  <c r="AN110" i="1"/>
  <c r="AR104" i="1" s="1"/>
  <c r="AV123" i="1" s="1"/>
  <c r="AV180" i="1" s="1"/>
  <c r="AR109" i="1"/>
  <c r="AV104" i="1" s="1"/>
  <c r="AR108" i="1"/>
  <c r="AV95" i="1" s="1"/>
  <c r="AV90" i="1"/>
  <c r="AN103" i="1"/>
  <c r="AR74" i="1" s="1"/>
  <c r="AN100" i="1"/>
  <c r="AC108" i="1"/>
  <c r="AN99" i="1"/>
  <c r="AR97" i="1"/>
  <c r="AV91" i="1" s="1"/>
  <c r="AR96" i="1"/>
  <c r="AN93" i="1"/>
  <c r="AO93" i="1" s="1"/>
  <c r="AS84" i="1" s="1"/>
  <c r="AW101" i="1" s="1"/>
  <c r="AW79" i="1"/>
  <c r="AV124" i="1"/>
  <c r="AV181" i="1" s="1"/>
  <c r="AN89" i="1"/>
  <c r="AO89" i="1" s="1"/>
  <c r="AN82" i="1"/>
  <c r="AC85" i="1"/>
  <c r="AB85" i="1"/>
  <c r="AR73" i="1"/>
  <c r="AC78" i="1"/>
  <c r="AO71" i="1"/>
  <c r="AO70" i="1"/>
  <c r="AC73" i="1"/>
  <c r="AB73" i="1"/>
  <c r="AC72" i="1"/>
  <c r="AV55" i="1"/>
  <c r="AV53" i="1"/>
  <c r="AW52" i="1"/>
  <c r="AV140" i="1" s="1"/>
  <c r="AV50" i="1"/>
  <c r="AW50" i="1" s="1"/>
  <c r="AW49" i="1"/>
  <c r="AH57" i="1"/>
  <c r="AW56" i="1"/>
  <c r="AV144" i="1" s="1"/>
  <c r="AV56" i="1"/>
  <c r="AW55" i="1"/>
  <c r="AV143" i="1" s="1"/>
  <c r="X51" i="1"/>
  <c r="AB50" i="1"/>
  <c r="X50" i="1"/>
  <c r="T46" i="1"/>
  <c r="AV37" i="1"/>
  <c r="T45" i="1"/>
  <c r="AR44" i="1"/>
  <c r="AN44" i="1"/>
  <c r="AO44" i="1" s="1"/>
  <c r="AR41" i="1"/>
  <c r="AN41" i="1"/>
  <c r="AO41" i="1" s="1"/>
  <c r="AO59" i="1" s="1"/>
  <c r="AH41" i="1"/>
  <c r="AB37" i="1"/>
  <c r="AB93" i="1" s="1"/>
  <c r="AH28" i="1" s="1"/>
  <c r="AB36" i="1"/>
  <c r="AB92" i="1" s="1"/>
  <c r="AR34" i="1"/>
  <c r="AR47" i="1" s="1"/>
  <c r="AN34" i="1"/>
  <c r="AN47" i="1" s="1"/>
  <c r="AO47" i="1" s="1"/>
  <c r="X35" i="1"/>
  <c r="AR33" i="1"/>
  <c r="AN33" i="1"/>
  <c r="AN45" i="1" s="1"/>
  <c r="AO45" i="1" s="1"/>
  <c r="AR32" i="1"/>
  <c r="AR46" i="1" s="1"/>
  <c r="AN32" i="1"/>
  <c r="AN46" i="1" s="1"/>
  <c r="AO46" i="1" s="1"/>
  <c r="AR31" i="1"/>
  <c r="AN31" i="1"/>
  <c r="P21" i="1"/>
  <c r="U25" i="1" s="1"/>
  <c r="Y28" i="1" s="1"/>
  <c r="P19" i="1"/>
  <c r="AB25" i="1"/>
  <c r="AB80" i="1" s="1"/>
  <c r="X25" i="1"/>
  <c r="T23" i="1"/>
  <c r="T27" i="1" s="1"/>
  <c r="P11" i="1"/>
  <c r="P28" i="1" s="1"/>
  <c r="P10" i="1"/>
  <c r="P35" i="1" s="1"/>
  <c r="AH17" i="1"/>
  <c r="AI17" i="1" s="1"/>
  <c r="AO43" i="1" s="1"/>
  <c r="AO60" i="1" s="1"/>
  <c r="AH16" i="1"/>
  <c r="AB16" i="1"/>
  <c r="AB72" i="1" s="1"/>
  <c r="X16" i="1"/>
  <c r="Y16" i="1" s="1"/>
  <c r="AB15" i="1"/>
  <c r="X15" i="1"/>
  <c r="Y15" i="1" s="1"/>
  <c r="AR85" i="1" l="1"/>
  <c r="AS85" i="1" s="1"/>
  <c r="AW102" i="1" s="1"/>
  <c r="AV125" i="1" s="1"/>
  <c r="AV182" i="1" s="1"/>
  <c r="X52" i="1"/>
  <c r="X53" i="1" s="1"/>
  <c r="AB18" i="1"/>
  <c r="AB74" i="1" s="1"/>
  <c r="P22" i="1"/>
  <c r="P30" i="1" s="1"/>
  <c r="AS41" i="1"/>
  <c r="AS44" i="1"/>
  <c r="AW53" i="1" s="1"/>
  <c r="AV141" i="1" s="1"/>
  <c r="T47" i="1"/>
  <c r="T48" i="1" s="1"/>
  <c r="T39" i="1"/>
  <c r="X18" i="1"/>
  <c r="AS32" i="1"/>
  <c r="AR45" i="1"/>
  <c r="AS45" i="1" s="1"/>
  <c r="AV43" i="1"/>
  <c r="AV45" i="1" s="1"/>
  <c r="AV46" i="1" s="1"/>
  <c r="AV113" i="1"/>
  <c r="AV170" i="1" s="1"/>
  <c r="AS33" i="1"/>
  <c r="U46" i="1"/>
  <c r="Y51" i="1" s="1"/>
  <c r="AC51" i="1" s="1"/>
  <c r="AR86" i="1"/>
  <c r="AS86" i="1" s="1"/>
  <c r="AW103" i="1" s="1"/>
  <c r="AV126" i="1" s="1"/>
  <c r="AV183" i="1" s="1"/>
  <c r="P12" i="1"/>
  <c r="P13" i="1" s="1"/>
  <c r="AS46" i="1"/>
  <c r="AS43" i="1"/>
  <c r="AB71" i="1"/>
  <c r="AR80" i="1"/>
  <c r="AV97" i="1" s="1"/>
  <c r="U23" i="1"/>
  <c r="Y25" i="1" s="1"/>
  <c r="Y31" i="1" s="1"/>
  <c r="AR35" i="1"/>
  <c r="AR36" i="1" s="1"/>
  <c r="U45" i="1"/>
  <c r="AW104" i="1"/>
  <c r="AC15" i="1"/>
  <c r="AI16" i="1" s="1"/>
  <c r="Y18" i="1"/>
  <c r="AH59" i="1"/>
  <c r="AH60" i="1"/>
  <c r="AB30" i="1"/>
  <c r="AS47" i="1"/>
  <c r="AH21" i="1"/>
  <c r="AC28" i="1"/>
  <c r="AC84" i="1" s="1"/>
  <c r="AI31" i="1" s="1"/>
  <c r="AO86" i="1" s="1"/>
  <c r="AS77" i="1" s="1"/>
  <c r="AW94" i="1" s="1"/>
  <c r="P36" i="1"/>
  <c r="P37" i="1" s="1"/>
  <c r="AN35" i="1"/>
  <c r="AS31" i="1"/>
  <c r="AW41" i="1" s="1"/>
  <c r="AV156" i="1"/>
  <c r="AN83" i="1"/>
  <c r="AN104" i="1"/>
  <c r="AS34" i="1"/>
  <c r="P29" i="1"/>
  <c r="P31" i="1" s="1"/>
  <c r="AB52" i="1"/>
  <c r="AC107" i="1"/>
  <c r="AH49" i="1" s="1"/>
  <c r="AO72" i="1"/>
  <c r="AO73" i="1" s="1"/>
  <c r="AN111" i="1"/>
  <c r="AN59" i="1"/>
  <c r="U48" i="1" l="1"/>
  <c r="X37" i="1"/>
  <c r="U47" i="1"/>
  <c r="T33" i="1"/>
  <c r="AV54" i="1"/>
  <c r="AS80" i="1"/>
  <c r="AW97" i="1" s="1"/>
  <c r="AW43" i="1"/>
  <c r="AW45" i="1" s="1"/>
  <c r="Y50" i="1"/>
  <c r="T40" i="1"/>
  <c r="T41" i="1" s="1"/>
  <c r="U27" i="1"/>
  <c r="T32" i="1"/>
  <c r="AN70" i="1"/>
  <c r="AH51" i="1"/>
  <c r="AC25" i="1"/>
  <c r="AC109" i="1"/>
  <c r="AB53" i="1"/>
  <c r="AC110" i="1" s="1"/>
  <c r="AN36" i="1"/>
  <c r="AS35" i="1"/>
  <c r="AR128" i="1"/>
  <c r="AS127" i="1"/>
  <c r="AS128" i="1" s="1"/>
  <c r="AC18" i="1"/>
  <c r="AC71" i="1"/>
  <c r="AI21" i="1"/>
  <c r="AO40" i="1"/>
  <c r="AD108" i="1"/>
  <c r="AI58" i="1" s="1"/>
  <c r="AB38" i="1"/>
  <c r="AB86" i="1"/>
  <c r="AC30" i="1"/>
  <c r="AC86" i="1" s="1"/>
  <c r="AI33" i="1" s="1"/>
  <c r="AO87" i="1" s="1"/>
  <c r="AS78" i="1" s="1"/>
  <c r="AW95" i="1" s="1"/>
  <c r="AJ58" i="1" l="1"/>
  <c r="AK58" i="1" s="1"/>
  <c r="AW54" i="1"/>
  <c r="AV142" i="1" s="1"/>
  <c r="AV148" i="1" s="1"/>
  <c r="X44" i="1"/>
  <c r="X45" i="1" s="1"/>
  <c r="Y52" i="1"/>
  <c r="Y53" i="1" s="1"/>
  <c r="AC50" i="1"/>
  <c r="X23" i="1"/>
  <c r="X31" i="1" s="1"/>
  <c r="T34" i="1"/>
  <c r="T35" i="1" s="1"/>
  <c r="X38" i="1"/>
  <c r="X39" i="1" s="1"/>
  <c r="AB23" i="1"/>
  <c r="AO58" i="1"/>
  <c r="AS40" i="1"/>
  <c r="AV80" i="1"/>
  <c r="AR98" i="1"/>
  <c r="AV51" i="1"/>
  <c r="AV60" i="1" s="1"/>
  <c r="AV69" i="1"/>
  <c r="AV73" i="1" s="1"/>
  <c r="AC74" i="1"/>
  <c r="AB43" i="1"/>
  <c r="AB94" i="1"/>
  <c r="AB26" i="1"/>
  <c r="AN61" i="1"/>
  <c r="AN42" i="1"/>
  <c r="AR61" i="1"/>
  <c r="AC80" i="1"/>
  <c r="AD107" i="1" l="1"/>
  <c r="AC52" i="1"/>
  <c r="AB45" i="1"/>
  <c r="AB46" i="1" s="1"/>
  <c r="AO61" i="1"/>
  <c r="AO65" i="1" s="1"/>
  <c r="AN65" i="1"/>
  <c r="AB81" i="1"/>
  <c r="AC26" i="1"/>
  <c r="AN102" i="1"/>
  <c r="AO42" i="1"/>
  <c r="AO51" i="1" s="1"/>
  <c r="AN109" i="1" s="1"/>
  <c r="AN117" i="1" s="1"/>
  <c r="AR42" i="1"/>
  <c r="AW80" i="1"/>
  <c r="AW81" i="1" s="1"/>
  <c r="AV117" i="1" s="1"/>
  <c r="AV174" i="1" s="1"/>
  <c r="AV81" i="1"/>
  <c r="AB31" i="1"/>
  <c r="AB39" i="1" s="1"/>
  <c r="AB40" i="1" s="1"/>
  <c r="AB78" i="1"/>
  <c r="AR65" i="1"/>
  <c r="AI27" i="1"/>
  <c r="AB87" i="1" l="1"/>
  <c r="AB95" i="1" s="1"/>
  <c r="AB96" i="1" s="1"/>
  <c r="AS61" i="1"/>
  <c r="AW69" i="1" s="1"/>
  <c r="AD109" i="1"/>
  <c r="AC53" i="1"/>
  <c r="AD110" i="1" s="1"/>
  <c r="AJ57" i="1"/>
  <c r="AJ59" i="1" s="1"/>
  <c r="AK59" i="1" s="1"/>
  <c r="AB102" i="1"/>
  <c r="AB103" i="1" s="1"/>
  <c r="AI57" i="1"/>
  <c r="AS42" i="1"/>
  <c r="AR51" i="1"/>
  <c r="AO82" i="1"/>
  <c r="AC81" i="1"/>
  <c r="AC31" i="1"/>
  <c r="AI59" i="1" l="1"/>
  <c r="AI60" i="1" s="1"/>
  <c r="AK57" i="1"/>
  <c r="AK60" i="1" s="1"/>
  <c r="AH25" i="1"/>
  <c r="AH35" i="1" s="1"/>
  <c r="AH43" i="1" s="1"/>
  <c r="AS65" i="1"/>
  <c r="AN72" i="1"/>
  <c r="AN73" i="1" s="1"/>
  <c r="AN88" i="1" s="1"/>
  <c r="AO88" i="1" s="1"/>
  <c r="AS79" i="1" s="1"/>
  <c r="AW96" i="1" s="1"/>
  <c r="AH42" i="1"/>
  <c r="AJ61" i="1"/>
  <c r="AI28" i="1"/>
  <c r="AC87" i="1"/>
  <c r="AW51" i="1"/>
  <c r="AR95" i="1"/>
  <c r="AS51" i="1"/>
  <c r="AR103" i="1" s="1"/>
  <c r="AR111" i="1" s="1"/>
  <c r="AS73" i="1"/>
  <c r="AW73" i="1"/>
  <c r="AV157" i="1"/>
  <c r="AV161" i="1" s="1"/>
  <c r="AH44" i="1" l="1"/>
  <c r="AN79" i="1"/>
  <c r="AN94" i="1" s="1"/>
  <c r="AN105" i="1" s="1"/>
  <c r="AN106" i="1" s="1"/>
  <c r="AV138" i="1"/>
  <c r="AV139" i="1" s="1"/>
  <c r="AV149" i="1" s="1"/>
  <c r="AV114" i="1"/>
  <c r="AW60" i="1"/>
  <c r="AV122" i="1" s="1"/>
  <c r="AV130" i="1" s="1"/>
  <c r="AV162" i="1"/>
  <c r="AV184" i="1" s="1"/>
  <c r="AO83" i="1"/>
  <c r="AI35" i="1"/>
  <c r="AW90" i="1"/>
  <c r="AR70" i="1" l="1"/>
  <c r="AR88" i="1" s="1"/>
  <c r="AR99" i="1" s="1"/>
  <c r="AR100" i="1" s="1"/>
  <c r="AV163" i="1"/>
  <c r="AS74" i="1"/>
  <c r="AO94" i="1"/>
  <c r="AV171" i="1"/>
  <c r="AV150" i="1"/>
  <c r="AV151" i="1" s="1"/>
  <c r="AV179" i="1" s="1"/>
  <c r="AV188" i="1" s="1"/>
  <c r="AW91" i="1" l="1"/>
  <c r="AW105" i="1" s="1"/>
  <c r="AS88" i="1"/>
  <c r="AV87" i="1" s="1"/>
  <c r="AV105" i="1" s="1"/>
  <c r="AV118" i="1" s="1"/>
  <c r="AV175" i="1" l="1"/>
  <c r="AV119" i="1"/>
  <c r="AV176" i="1" s="1"/>
</calcChain>
</file>

<file path=xl/sharedStrings.xml><?xml version="1.0" encoding="utf-8"?>
<sst xmlns="http://schemas.openxmlformats.org/spreadsheetml/2006/main" count="928" uniqueCount="456">
  <si>
    <t>DADOS</t>
  </si>
  <si>
    <t>Situação 6</t>
  </si>
  <si>
    <t>Acumulado</t>
  </si>
  <si>
    <t>Situação 7</t>
  </si>
  <si>
    <t>Situação 8</t>
  </si>
  <si>
    <t>Situação 9</t>
  </si>
  <si>
    <t>Dados</t>
  </si>
  <si>
    <t>Situação 10</t>
  </si>
  <si>
    <t>Acum.</t>
  </si>
  <si>
    <t>Situação 11</t>
  </si>
  <si>
    <t>Situação 12</t>
  </si>
  <si>
    <r>
      <t>Custo do m</t>
    </r>
    <r>
      <rPr>
        <vertAlign val="superscript"/>
        <sz val="9"/>
        <color theme="1"/>
        <rFont val="Arial"/>
        <family val="2"/>
      </rPr>
      <t>3</t>
    </r>
    <r>
      <rPr>
        <sz val="9"/>
        <color theme="1"/>
        <rFont val="Arial"/>
        <family val="2"/>
      </rPr>
      <t xml:space="preserve"> de mármore comprado</t>
    </r>
  </si>
  <si>
    <r>
      <t>Custo do m</t>
    </r>
    <r>
      <rPr>
        <vertAlign val="superscript"/>
        <sz val="9"/>
        <color theme="1"/>
        <rFont val="Arial"/>
        <family val="2"/>
      </rPr>
      <t>3</t>
    </r>
    <r>
      <rPr>
        <sz val="9"/>
        <color theme="1"/>
        <rFont val="Arial"/>
        <family val="2"/>
      </rPr>
      <t xml:space="preserve"> de mármore em bloco comprado</t>
    </r>
  </si>
  <si>
    <t>-----</t>
  </si>
  <si>
    <r>
      <t>Preço do m</t>
    </r>
    <r>
      <rPr>
        <vertAlign val="superscript"/>
        <sz val="9"/>
        <color theme="1"/>
        <rFont val="Arial"/>
        <family val="2"/>
      </rPr>
      <t>3</t>
    </r>
    <r>
      <rPr>
        <sz val="9"/>
        <color theme="1"/>
        <rFont val="Arial"/>
        <family val="2"/>
      </rPr>
      <t xml:space="preserve"> de mármore vendido</t>
    </r>
  </si>
  <si>
    <r>
      <t>Quantidade de m</t>
    </r>
    <r>
      <rPr>
        <vertAlign val="superscript"/>
        <sz val="9"/>
        <color theme="1"/>
        <rFont val="Arial"/>
        <family val="2"/>
      </rPr>
      <t>3</t>
    </r>
    <r>
      <rPr>
        <sz val="9"/>
        <color theme="1"/>
        <rFont val="Arial"/>
        <family val="2"/>
      </rPr>
      <t xml:space="preserve"> de blocos comprados a dinheiro para comercializar</t>
    </r>
  </si>
  <si>
    <r>
      <t>Quantidade de m</t>
    </r>
    <r>
      <rPr>
        <vertAlign val="superscript"/>
        <sz val="9"/>
        <color theme="1"/>
        <rFont val="Arial"/>
        <family val="2"/>
      </rPr>
      <t>3</t>
    </r>
    <r>
      <rPr>
        <sz val="9"/>
        <color theme="1"/>
        <rFont val="Arial"/>
        <family val="2"/>
      </rPr>
      <t xml:space="preserve"> comprados a dinheiro</t>
    </r>
  </si>
  <si>
    <t>---</t>
  </si>
  <si>
    <r>
      <t>Quantidade de m</t>
    </r>
    <r>
      <rPr>
        <vertAlign val="superscript"/>
        <sz val="9"/>
        <color theme="1"/>
        <rFont val="Arial"/>
        <family val="2"/>
      </rPr>
      <t>3</t>
    </r>
    <r>
      <rPr>
        <sz val="9"/>
        <color theme="1"/>
        <rFont val="Arial"/>
        <family val="2"/>
      </rPr>
      <t xml:space="preserve"> de blocos comprados a crédito para comercializar</t>
    </r>
  </si>
  <si>
    <r>
      <t>Quantidade de m</t>
    </r>
    <r>
      <rPr>
        <vertAlign val="superscript"/>
        <sz val="9"/>
        <color theme="1"/>
        <rFont val="Arial"/>
        <family val="2"/>
      </rPr>
      <t>3</t>
    </r>
    <r>
      <rPr>
        <sz val="9"/>
        <color theme="1"/>
        <rFont val="Arial"/>
        <family val="2"/>
      </rPr>
      <t xml:space="preserve"> comprados a crédito</t>
    </r>
  </si>
  <si>
    <r>
      <t>Quantidade de m</t>
    </r>
    <r>
      <rPr>
        <vertAlign val="superscript"/>
        <sz val="9"/>
        <color theme="1"/>
        <rFont val="Arial"/>
        <family val="2"/>
      </rPr>
      <t>3</t>
    </r>
    <r>
      <rPr>
        <sz val="9"/>
        <color theme="1"/>
        <rFont val="Arial"/>
        <family val="2"/>
      </rPr>
      <t>comprados a crédito</t>
    </r>
  </si>
  <si>
    <r>
      <t>Quantidade de m</t>
    </r>
    <r>
      <rPr>
        <vertAlign val="superscript"/>
        <sz val="9"/>
        <color theme="1"/>
        <rFont val="Arial"/>
        <family val="2"/>
      </rPr>
      <t>3</t>
    </r>
    <r>
      <rPr>
        <sz val="9"/>
        <color theme="1"/>
        <rFont val="Arial"/>
        <family val="2"/>
      </rPr>
      <t xml:space="preserve"> de blocos comprados a crédito e transformados</t>
    </r>
  </si>
  <si>
    <r>
      <t>Quantidade de m</t>
    </r>
    <r>
      <rPr>
        <vertAlign val="superscript"/>
        <sz val="9"/>
        <color theme="1"/>
        <rFont val="Arial"/>
        <family val="2"/>
      </rPr>
      <t>3</t>
    </r>
    <r>
      <rPr>
        <sz val="9"/>
        <color theme="1"/>
        <rFont val="Arial"/>
        <family val="2"/>
      </rPr>
      <t xml:space="preserve"> vendidos a dinheiro</t>
    </r>
  </si>
  <si>
    <r>
      <t>Preço do m</t>
    </r>
    <r>
      <rPr>
        <vertAlign val="superscript"/>
        <sz val="9"/>
        <color theme="1"/>
        <rFont val="Arial"/>
        <family val="2"/>
      </rPr>
      <t>3</t>
    </r>
    <r>
      <rPr>
        <sz val="9"/>
        <color theme="1"/>
        <rFont val="Arial"/>
        <family val="2"/>
      </rPr>
      <t xml:space="preserve"> de mármore em bloco vendido</t>
    </r>
  </si>
  <si>
    <r>
      <t>Quantidade de m</t>
    </r>
    <r>
      <rPr>
        <vertAlign val="superscript"/>
        <sz val="9"/>
        <color theme="1"/>
        <rFont val="Arial"/>
        <family val="2"/>
      </rPr>
      <t>3</t>
    </r>
    <r>
      <rPr>
        <sz val="9"/>
        <color theme="1"/>
        <rFont val="Arial"/>
        <family val="2"/>
      </rPr>
      <t xml:space="preserve"> de blocos comprados a crédito em parque</t>
    </r>
  </si>
  <si>
    <r>
      <t>Quantidade de m</t>
    </r>
    <r>
      <rPr>
        <vertAlign val="superscript"/>
        <sz val="9"/>
        <color theme="1"/>
        <rFont val="Arial"/>
        <family val="2"/>
      </rPr>
      <t>3</t>
    </r>
    <r>
      <rPr>
        <sz val="9"/>
        <color theme="1"/>
        <rFont val="Arial"/>
        <family val="2"/>
      </rPr>
      <t xml:space="preserve"> vendidos a crédito</t>
    </r>
  </si>
  <si>
    <r>
      <t>Quantidade de m</t>
    </r>
    <r>
      <rPr>
        <vertAlign val="superscript"/>
        <sz val="9"/>
        <color theme="1"/>
        <rFont val="Arial"/>
        <family val="2"/>
      </rPr>
      <t>3</t>
    </r>
    <r>
      <rPr>
        <sz val="9"/>
        <color theme="1"/>
        <rFont val="Arial"/>
        <family val="2"/>
      </rPr>
      <t xml:space="preserve"> de blocos vendidos a dinheiro</t>
    </r>
  </si>
  <si>
    <t>Renda do olival</t>
  </si>
  <si>
    <r>
      <t>Quantidade de m</t>
    </r>
    <r>
      <rPr>
        <vertAlign val="superscript"/>
        <sz val="9"/>
        <color theme="1"/>
        <rFont val="Arial"/>
        <family val="2"/>
      </rPr>
      <t>3</t>
    </r>
    <r>
      <rPr>
        <sz val="9"/>
        <color theme="1"/>
        <rFont val="Arial"/>
        <family val="2"/>
      </rPr>
      <t xml:space="preserve"> no parque de blocos</t>
    </r>
  </si>
  <si>
    <r>
      <t>Quantidade de m</t>
    </r>
    <r>
      <rPr>
        <vertAlign val="superscript"/>
        <sz val="9"/>
        <color theme="1"/>
        <rFont val="Arial"/>
        <family val="2"/>
      </rPr>
      <t>3</t>
    </r>
    <r>
      <rPr>
        <sz val="9"/>
        <color theme="1"/>
        <rFont val="Arial"/>
        <family val="2"/>
      </rPr>
      <t xml:space="preserve"> em parque</t>
    </r>
  </si>
  <si>
    <r>
      <t>Quantidade de m</t>
    </r>
    <r>
      <rPr>
        <vertAlign val="superscript"/>
        <sz val="9"/>
        <color theme="1"/>
        <rFont val="Arial"/>
        <family val="2"/>
      </rPr>
      <t>3</t>
    </r>
    <r>
      <rPr>
        <sz val="9"/>
        <color theme="1"/>
        <rFont val="Arial"/>
        <family val="2"/>
      </rPr>
      <t xml:space="preserve"> de blocos vendidos a crédito</t>
    </r>
  </si>
  <si>
    <t>(Unidade: euros)</t>
  </si>
  <si>
    <r>
      <t>Quantidade de m</t>
    </r>
    <r>
      <rPr>
        <vertAlign val="superscript"/>
        <sz val="9"/>
        <color theme="1"/>
        <rFont val="Arial"/>
        <family val="2"/>
      </rPr>
      <t>3</t>
    </r>
    <r>
      <rPr>
        <sz val="9"/>
        <color theme="1"/>
        <rFont val="Arial"/>
        <family val="2"/>
      </rPr>
      <t xml:space="preserve"> sem valor </t>
    </r>
  </si>
  <si>
    <r>
      <t>Quantidade de m</t>
    </r>
    <r>
      <rPr>
        <vertAlign val="superscript"/>
        <sz val="9"/>
        <color theme="1"/>
        <rFont val="Arial"/>
        <family val="2"/>
      </rPr>
      <t>2</t>
    </r>
    <r>
      <rPr>
        <sz val="9"/>
        <color theme="1"/>
        <rFont val="Arial"/>
        <family val="2"/>
      </rPr>
      <t xml:space="preserve"> de chapa produzidos</t>
    </r>
  </si>
  <si>
    <r>
      <t>Preço de venda do m</t>
    </r>
    <r>
      <rPr>
        <vertAlign val="superscript"/>
        <sz val="9"/>
        <color theme="1"/>
        <rFont val="Arial"/>
        <family val="2"/>
      </rPr>
      <t>2</t>
    </r>
    <r>
      <rPr>
        <sz val="9"/>
        <color theme="1"/>
        <rFont val="Arial"/>
        <family val="2"/>
      </rPr>
      <t xml:space="preserve"> de chapa</t>
    </r>
  </si>
  <si>
    <t>Demonstração de resultados</t>
  </si>
  <si>
    <r>
      <t>Quantidade de m</t>
    </r>
    <r>
      <rPr>
        <vertAlign val="superscript"/>
        <sz val="9"/>
        <color theme="1"/>
        <rFont val="Arial"/>
        <family val="2"/>
      </rPr>
      <t>2</t>
    </r>
    <r>
      <rPr>
        <sz val="9"/>
        <color theme="1"/>
        <rFont val="Arial"/>
        <family val="2"/>
      </rPr>
      <t xml:space="preserve"> de chapa vendidos a dinheiro</t>
    </r>
  </si>
  <si>
    <t>1 - Vendas</t>
  </si>
  <si>
    <r>
      <t>Quantidade de m</t>
    </r>
    <r>
      <rPr>
        <vertAlign val="superscript"/>
        <sz val="9"/>
        <color theme="1"/>
        <rFont val="Arial"/>
        <family val="2"/>
      </rPr>
      <t>2</t>
    </r>
    <r>
      <rPr>
        <sz val="9"/>
        <color theme="1"/>
        <rFont val="Arial"/>
        <family val="2"/>
      </rPr>
      <t xml:space="preserve"> de chapa vendidos a crédito</t>
    </r>
  </si>
  <si>
    <t>2 - Custo das Mercadorias Vendidas</t>
  </si>
  <si>
    <t>Demonstração de resultado</t>
  </si>
  <si>
    <r>
      <t>Quantidade de m</t>
    </r>
    <r>
      <rPr>
        <vertAlign val="superscript"/>
        <sz val="9"/>
        <color theme="1"/>
        <rFont val="Arial"/>
        <family val="2"/>
      </rPr>
      <t>2</t>
    </r>
    <r>
      <rPr>
        <sz val="9"/>
        <color theme="1"/>
        <rFont val="Arial"/>
        <family val="2"/>
      </rPr>
      <t xml:space="preserve"> de chapa em parque</t>
    </r>
  </si>
  <si>
    <t>3 - Resultado Líquido do Exercício (Lucro/Prejuízo)</t>
  </si>
  <si>
    <t>3 - Rendas e Alugueres</t>
  </si>
  <si>
    <t>Aumento de capital</t>
  </si>
  <si>
    <t>4 - Resultado Líquido Exercício (Lucro/Prejuízo)</t>
  </si>
  <si>
    <t>1 – Vendas</t>
  </si>
  <si>
    <t>Custo do equipamento</t>
  </si>
  <si>
    <t>3 – Rendas e Alugueres</t>
  </si>
  <si>
    <t xml:space="preserve">3 – Rendas </t>
  </si>
  <si>
    <t>Consumo de Energia (IVA 23%)</t>
  </si>
  <si>
    <t>Mapa do IVA</t>
  </si>
  <si>
    <t>4 - IVA - Liquidado</t>
  </si>
  <si>
    <t>Demonstração de fluxos de caixa</t>
  </si>
  <si>
    <t>4 - Juros</t>
  </si>
  <si>
    <t>Depreciação mensal do equipamento</t>
  </si>
  <si>
    <t>5- IVA - Dedutível</t>
  </si>
  <si>
    <t>Encargos com a Segurança Social do empregado  23,75%</t>
  </si>
  <si>
    <t>Gastos com o Pessoal</t>
  </si>
  <si>
    <t>6 - IVA - Apuramento</t>
  </si>
  <si>
    <t>5 - Disponibilidades iniciais</t>
  </si>
  <si>
    <t>Taxa de IRS</t>
  </si>
  <si>
    <t>Encargos com a Segurança Social do empregado</t>
  </si>
  <si>
    <t>7 - IVA - A pagar</t>
  </si>
  <si>
    <t>Entradas</t>
  </si>
  <si>
    <t>Renda</t>
  </si>
  <si>
    <t>6 - Vendas a dinheiro</t>
  </si>
  <si>
    <t>Reembolso de empréstimos</t>
  </si>
  <si>
    <t>Saídas</t>
  </si>
  <si>
    <t>Juro de empréstimos</t>
  </si>
  <si>
    <t>7 - Compras pagas a pronto</t>
  </si>
  <si>
    <t>7 – Disponibilidades iniciais</t>
  </si>
  <si>
    <t>Financiamentos obtidos</t>
  </si>
  <si>
    <t>8 - Rendas e alugueres</t>
  </si>
  <si>
    <t>7 - Recebimento de dívidas clientes</t>
  </si>
  <si>
    <t xml:space="preserve">Taxa de IRC </t>
  </si>
  <si>
    <t>8 - Disponibilidades iniciais</t>
  </si>
  <si>
    <t>9 - Disponibilidades finais</t>
  </si>
  <si>
    <t>7 – Compras a pronto</t>
  </si>
  <si>
    <t>8 - Vendas a dinheiro</t>
  </si>
  <si>
    <t>8 – Pagamento de rendas</t>
  </si>
  <si>
    <t>8 – Compras a pronto</t>
  </si>
  <si>
    <t>9 - Recebimento das dívidas de clientes</t>
  </si>
  <si>
    <t>9 - Vendas a dinheiro</t>
  </si>
  <si>
    <t>9 -  Pagamento de rendas</t>
  </si>
  <si>
    <r>
      <t>Produção  = 40 m</t>
    </r>
    <r>
      <rPr>
        <vertAlign val="superscript"/>
        <sz val="9"/>
        <color theme="1"/>
        <rFont val="Arial"/>
        <family val="2"/>
      </rPr>
      <t>2</t>
    </r>
    <r>
      <rPr>
        <sz val="9"/>
        <color theme="1"/>
        <rFont val="Arial"/>
        <family val="2"/>
      </rPr>
      <t xml:space="preserve"> * 100 m</t>
    </r>
    <r>
      <rPr>
        <vertAlign val="superscript"/>
        <sz val="9"/>
        <color theme="1"/>
        <rFont val="Arial"/>
        <family val="2"/>
      </rPr>
      <t>3</t>
    </r>
    <r>
      <rPr>
        <sz val="9"/>
        <color theme="1"/>
        <rFont val="Arial"/>
        <family val="2"/>
      </rPr>
      <t xml:space="preserve"> = 4.000 m</t>
    </r>
    <r>
      <rPr>
        <vertAlign val="superscript"/>
        <sz val="9"/>
        <color theme="1"/>
        <rFont val="Arial"/>
        <family val="2"/>
      </rPr>
      <t>2</t>
    </r>
    <r>
      <rPr>
        <sz val="9"/>
        <color theme="1"/>
        <rFont val="Arial"/>
        <family val="2"/>
      </rPr>
      <t xml:space="preserve"> (1 m</t>
    </r>
    <r>
      <rPr>
        <vertAlign val="superscript"/>
        <sz val="9"/>
        <color theme="1"/>
        <rFont val="Arial"/>
        <family val="2"/>
      </rPr>
      <t>3</t>
    </r>
    <r>
      <rPr>
        <sz val="9"/>
        <color theme="1"/>
        <rFont val="Arial"/>
        <family val="2"/>
      </rPr>
      <t xml:space="preserve"> bloco =&gt; 40 m</t>
    </r>
    <r>
      <rPr>
        <vertAlign val="superscript"/>
        <sz val="9"/>
        <color theme="1"/>
        <rFont val="Arial"/>
        <family val="2"/>
      </rPr>
      <t>2</t>
    </r>
    <r>
      <rPr>
        <sz val="9"/>
        <color theme="1"/>
        <rFont val="Arial"/>
        <family val="2"/>
      </rPr>
      <t xml:space="preserve"> chapa)</t>
    </r>
  </si>
  <si>
    <t>BALANÇO</t>
  </si>
  <si>
    <t>10 - Pagamento de débitos a fornecedores</t>
  </si>
  <si>
    <t>Custo de produção</t>
  </si>
  <si>
    <t xml:space="preserve">10 – Compras a pronto </t>
  </si>
  <si>
    <t>Ativo</t>
  </si>
  <si>
    <t>11 - Disponibilidades finais</t>
  </si>
  <si>
    <t>11 – Compras a pronto</t>
  </si>
  <si>
    <t xml:space="preserve">1 – Matérias-primas </t>
  </si>
  <si>
    <t xml:space="preserve">1 – Matérias-Primas </t>
  </si>
  <si>
    <r>
      <t>N.º dias de consumo = 4.000 m</t>
    </r>
    <r>
      <rPr>
        <vertAlign val="superscript"/>
        <sz val="9"/>
        <color theme="1"/>
        <rFont val="Arial"/>
        <family val="2"/>
      </rPr>
      <t>2</t>
    </r>
    <r>
      <rPr>
        <sz val="9"/>
        <color theme="1"/>
        <rFont val="Arial"/>
        <family val="2"/>
      </rPr>
      <t xml:space="preserve"> / 320 m</t>
    </r>
    <r>
      <rPr>
        <vertAlign val="superscript"/>
        <sz val="9"/>
        <color theme="1"/>
        <rFont val="Arial"/>
        <family val="2"/>
      </rPr>
      <t>2</t>
    </r>
    <r>
      <rPr>
        <sz val="9"/>
        <color theme="1"/>
        <rFont val="Arial"/>
        <family val="2"/>
      </rPr>
      <t xml:space="preserve"> por dia = 12,5 dias</t>
    </r>
  </si>
  <si>
    <t>10 – Clientes</t>
  </si>
  <si>
    <t>Balanço</t>
  </si>
  <si>
    <t>12 - Pagamento de rendas</t>
  </si>
  <si>
    <t>2 – Energia</t>
  </si>
  <si>
    <t>11 – E. O. E. P. – IVA Dedutível</t>
  </si>
  <si>
    <t>Activo</t>
  </si>
  <si>
    <t>13 – Pagamento de débitos a fornecedores</t>
  </si>
  <si>
    <t>3 – Gatos com o pessoal</t>
  </si>
  <si>
    <t>3 – Gastos com o Pessoal</t>
  </si>
  <si>
    <t>Consumo diário = 300 Kwh * 8 horas  = 2.400 Kw</t>
  </si>
  <si>
    <t>14 – Pagamento de juros</t>
  </si>
  <si>
    <t>4 – Depreciações</t>
  </si>
  <si>
    <r>
      <t xml:space="preserve">13 – </t>
    </r>
    <r>
      <rPr>
        <i/>
        <sz val="9"/>
        <color theme="1"/>
        <rFont val="Arial"/>
        <family val="2"/>
      </rPr>
      <t>Total do Ativo</t>
    </r>
  </si>
  <si>
    <t>11 - Clientes</t>
  </si>
  <si>
    <t>15 - Disponibilidades finais</t>
  </si>
  <si>
    <t xml:space="preserve">5 – Custo de produção </t>
  </si>
  <si>
    <t>5 - Custo de Produção</t>
  </si>
  <si>
    <t>Consumo mensal = 2.400 Kw * 12,5 dias = 30.000 KW</t>
  </si>
  <si>
    <t>Capital Próprio e Passivo</t>
  </si>
  <si>
    <t>12 – E. O. E. P. – IVA Dedutível</t>
  </si>
  <si>
    <t>12 – Inventários</t>
  </si>
  <si>
    <r>
      <t>6 – Custo de produção por m</t>
    </r>
    <r>
      <rPr>
        <vertAlign val="superscript"/>
        <sz val="9"/>
        <color theme="1"/>
        <rFont val="Arial"/>
        <family val="2"/>
      </rPr>
      <t>2</t>
    </r>
    <r>
      <rPr>
        <sz val="9"/>
        <color theme="1"/>
        <rFont val="Arial"/>
        <family val="2"/>
      </rPr>
      <t xml:space="preserve"> de chapa</t>
    </r>
  </si>
  <si>
    <r>
      <t>6 - Custo de Produção por m</t>
    </r>
    <r>
      <rPr>
        <vertAlign val="superscript"/>
        <sz val="9"/>
        <color theme="1"/>
        <rFont val="Arial"/>
        <family val="2"/>
      </rPr>
      <t>2</t>
    </r>
    <r>
      <rPr>
        <sz val="9"/>
        <color theme="1"/>
        <rFont val="Arial"/>
        <family val="2"/>
      </rPr>
      <t xml:space="preserve"> de chapa</t>
    </r>
  </si>
  <si>
    <t>12 - E.O.E.P. – IVA Dedutível</t>
  </si>
  <si>
    <t xml:space="preserve">14 - Capital  </t>
  </si>
  <si>
    <t>13 – Clientes</t>
  </si>
  <si>
    <t>Energia = 30.000 Kw * 0,15 € = 4.500 €</t>
  </si>
  <si>
    <t>13 - Clientes</t>
  </si>
  <si>
    <r>
      <t xml:space="preserve">14 – </t>
    </r>
    <r>
      <rPr>
        <i/>
        <sz val="9"/>
        <color theme="1"/>
        <rFont val="Arial"/>
        <family val="2"/>
      </rPr>
      <t>Total do Activo</t>
    </r>
  </si>
  <si>
    <t>14 – E. O. E. P. – IVA Dedutível</t>
  </si>
  <si>
    <t>16 - Fornecedores</t>
  </si>
  <si>
    <t>15 - Disponibilidades</t>
  </si>
  <si>
    <t>DR  por natureza</t>
  </si>
  <si>
    <t>EOEP – Contribuições para a Segurança Social = 2.000 * 11% = 220 € (Retenção na fonte)</t>
  </si>
  <si>
    <r>
      <t xml:space="preserve">15 – </t>
    </r>
    <r>
      <rPr>
        <i/>
        <sz val="9"/>
        <color theme="1"/>
        <rFont val="Arial"/>
        <family val="2"/>
      </rPr>
      <t>Total do Activo</t>
    </r>
  </si>
  <si>
    <t>17 - E. O. E. P. – IVA Liquidado</t>
  </si>
  <si>
    <t xml:space="preserve">15 - Capital  </t>
  </si>
  <si>
    <r>
      <t xml:space="preserve">16 – </t>
    </r>
    <r>
      <rPr>
        <i/>
        <sz val="9"/>
        <color theme="1"/>
        <rFont val="Arial"/>
        <family val="2"/>
      </rPr>
      <t>Total do Ativo</t>
    </r>
  </si>
  <si>
    <t>7 – Vendas de Mercadorias</t>
  </si>
  <si>
    <r>
      <t xml:space="preserve">18 - </t>
    </r>
    <r>
      <rPr>
        <i/>
        <sz val="9"/>
        <color theme="1"/>
        <rFont val="Arial"/>
        <family val="2"/>
      </rPr>
      <t>Total do Capital Próprio e Passivo</t>
    </r>
  </si>
  <si>
    <t>17- Clientes</t>
  </si>
  <si>
    <t>8 – Vendas de Produtos</t>
  </si>
  <si>
    <t>EOEP – Contribuições para a Segurança Social = 2.000 * 23,75% = 475  € (Encargos da entidade patronal)</t>
  </si>
  <si>
    <t xml:space="preserve">16 - Capital </t>
  </si>
  <si>
    <t>17 - Fornecedores</t>
  </si>
  <si>
    <t xml:space="preserve">17 - Capital  </t>
  </si>
  <si>
    <t>18 – E. O. E. P. - IVA Apuramento</t>
  </si>
  <si>
    <t>9 – Variação da Produção</t>
  </si>
  <si>
    <t>18 – E. O. E. P. – IVA Liquidado</t>
  </si>
  <si>
    <t>18 - Resultado Líquido do Exercício (Lucro/Prejuízo)</t>
  </si>
  <si>
    <t>10 – Custo das Mercadorias Vendidas</t>
  </si>
  <si>
    <t>EOEP – Imposto sobre o rendimento = 2.000 * 10% = 200 € (Retenção na fonte)</t>
  </si>
  <si>
    <t>MAPA do IVA</t>
  </si>
  <si>
    <r>
      <t xml:space="preserve">19 - </t>
    </r>
    <r>
      <rPr>
        <i/>
        <sz val="9"/>
        <color theme="1"/>
        <rFont val="Arial"/>
        <family val="2"/>
      </rPr>
      <t>Total do Capital Próprio e Passivo</t>
    </r>
  </si>
  <si>
    <t>19 - Fornecedores</t>
  </si>
  <si>
    <r>
      <t xml:space="preserve">20 – </t>
    </r>
    <r>
      <rPr>
        <i/>
        <sz val="9"/>
        <color theme="1"/>
        <rFont val="Arial"/>
        <family val="2"/>
      </rPr>
      <t>Total do Ativo</t>
    </r>
  </si>
  <si>
    <t>11- Custo das Matérias Consumidas</t>
  </si>
  <si>
    <t xml:space="preserve">19 - Fornecedores </t>
  </si>
  <si>
    <t>19 - IVA Liquidado</t>
  </si>
  <si>
    <t>20 – E. O. E. P. – IVA Liquidado</t>
  </si>
  <si>
    <t>12 – Gastos com o Pessoal</t>
  </si>
  <si>
    <t>Outros Credores = 4.500 * 1,05 = 4.725 €  (Consumo de energia)</t>
  </si>
  <si>
    <r>
      <t xml:space="preserve">20 - </t>
    </r>
    <r>
      <rPr>
        <i/>
        <sz val="9"/>
        <color theme="1"/>
        <rFont val="Arial"/>
        <family val="2"/>
      </rPr>
      <t>Total do Capital Próprio e Passivo</t>
    </r>
  </si>
  <si>
    <t>20 - IVA  Dedutível</t>
  </si>
  <si>
    <r>
      <t xml:space="preserve">21 - </t>
    </r>
    <r>
      <rPr>
        <i/>
        <sz val="9"/>
        <color theme="1"/>
        <rFont val="Arial"/>
        <family val="2"/>
      </rPr>
      <t>Total do Capital Próprio e Passivo</t>
    </r>
  </si>
  <si>
    <t>13 – Energia</t>
  </si>
  <si>
    <t>13 - Energia</t>
  </si>
  <si>
    <t>21 - IVA  Apuramento</t>
  </si>
  <si>
    <t>Existências – Produtos Acabados = 1.000 * 8,55625 € = 8.556,25 €</t>
  </si>
  <si>
    <t>22 - IVA  a  Pagar</t>
  </si>
  <si>
    <t>15 - Rendas e Alugueres</t>
  </si>
  <si>
    <t>24 - E.O. E. P. – IVA Liquidado</t>
  </si>
  <si>
    <t>16 – Juros</t>
  </si>
  <si>
    <t>20 - IVA Liquidado</t>
  </si>
  <si>
    <t>22 - IVA Liquidado</t>
  </si>
  <si>
    <t>25 - Fornecedores</t>
  </si>
  <si>
    <t>21 - IVA  Dedutível</t>
  </si>
  <si>
    <t>23 - IVA  Dedutível</t>
  </si>
  <si>
    <r>
      <t xml:space="preserve">26 - </t>
    </r>
    <r>
      <rPr>
        <i/>
        <sz val="9"/>
        <color theme="1"/>
        <rFont val="Arial"/>
        <family val="2"/>
      </rPr>
      <t>Total do Capital Próprio e Passivo</t>
    </r>
  </si>
  <si>
    <t>22 - IVA  Apuramento</t>
  </si>
  <si>
    <t>24 - IVA  Apuramento</t>
  </si>
  <si>
    <t xml:space="preserve">1 - Matérias Primas </t>
  </si>
  <si>
    <t>23 - IVA  a  Receber</t>
  </si>
  <si>
    <t>Sit. 9</t>
  </si>
  <si>
    <t>Regularização periódica</t>
  </si>
  <si>
    <r>
      <t>Variação da Produção = Ef – Ei = (500 m</t>
    </r>
    <r>
      <rPr>
        <vertAlign val="superscript"/>
        <sz val="9"/>
        <color theme="1"/>
        <rFont val="Arial"/>
        <family val="2"/>
      </rPr>
      <t>2</t>
    </r>
    <r>
      <rPr>
        <sz val="9"/>
        <color theme="1"/>
        <rFont val="Arial"/>
        <family val="2"/>
      </rPr>
      <t xml:space="preserve"> *  8,61875 €) - 0 = 4.309,375 €</t>
    </r>
  </si>
  <si>
    <t>Variação da Produção : Ef – Ei = (1.500 m2 * 8,246875 € ) - (500 m2 * 8,61875 € ) = 8.060,9375 €</t>
  </si>
  <si>
    <t>3 - Gastos com o Pessoal</t>
  </si>
  <si>
    <t>total</t>
  </si>
  <si>
    <t>Encargos Sociais = 1.000 € * 23,75 % = 237,5 €</t>
  </si>
  <si>
    <t>Variação da Produção (Acumulado) : Ef – Ei = (1.500 m2 * 8,246875 € ) - 0 = 12.370,31 €</t>
  </si>
  <si>
    <t>27 - IVA Liq.</t>
  </si>
  <si>
    <t>28 - IVA  Ded,</t>
  </si>
  <si>
    <t>29 - IVA Apur.</t>
  </si>
  <si>
    <t>30 – IVA pagar</t>
  </si>
  <si>
    <t>DR  por funções</t>
  </si>
  <si>
    <t>31 - IVA Recuperar</t>
  </si>
  <si>
    <t>19 – Vendas de Mercadorias</t>
  </si>
  <si>
    <t>20 – Vendas de Produtos</t>
  </si>
  <si>
    <t>21 – Custo das Mercadorias Vendidas</t>
  </si>
  <si>
    <t>Financiamento obtido</t>
  </si>
  <si>
    <t>22 – Custo Industrial dos Produtos Vendidos</t>
  </si>
  <si>
    <t>Taxa de juro anual nominal</t>
  </si>
  <si>
    <t>23 - Rendas e Alugueres</t>
  </si>
  <si>
    <t>24 – Gastos Financeiros</t>
  </si>
  <si>
    <t>25 – Gastos e Perdas  Extraordinários</t>
  </si>
  <si>
    <t>26 - Resultado Líquido Exercício (Lucro/Prejuízo )</t>
  </si>
  <si>
    <t>DEMONSTRAÇÃO DE RESULTADOS</t>
  </si>
  <si>
    <r>
      <t>CIPV = 1.500 m</t>
    </r>
    <r>
      <rPr>
        <vertAlign val="superscript"/>
        <sz val="9"/>
        <color theme="1"/>
        <rFont val="Arial"/>
        <family val="2"/>
      </rPr>
      <t>2</t>
    </r>
    <r>
      <rPr>
        <sz val="9"/>
        <color theme="1"/>
        <rFont val="Arial"/>
        <family val="2"/>
      </rPr>
      <t xml:space="preserve"> * 8,61875 € = </t>
    </r>
    <r>
      <rPr>
        <b/>
        <sz val="9"/>
        <color theme="1"/>
        <rFont val="Arial"/>
        <family val="2"/>
      </rPr>
      <t>12.928,125 €</t>
    </r>
  </si>
  <si>
    <r>
      <t>CIPV = (500 m</t>
    </r>
    <r>
      <rPr>
        <vertAlign val="superscript"/>
        <sz val="9"/>
        <color theme="1"/>
        <rFont val="Arial"/>
        <family val="2"/>
      </rPr>
      <t xml:space="preserve">2 </t>
    </r>
    <r>
      <rPr>
        <sz val="9"/>
        <color theme="1"/>
        <rFont val="Arial"/>
        <family val="2"/>
      </rPr>
      <t>* 8,61875 €) + (2.500 m</t>
    </r>
    <r>
      <rPr>
        <vertAlign val="superscript"/>
        <sz val="9"/>
        <color theme="1"/>
        <rFont val="Arial"/>
        <family val="2"/>
      </rPr>
      <t xml:space="preserve">2 </t>
    </r>
    <r>
      <rPr>
        <sz val="9"/>
        <color theme="1"/>
        <rFont val="Arial"/>
        <family val="2"/>
      </rPr>
      <t xml:space="preserve">* 8,246875 €)  = </t>
    </r>
    <r>
      <rPr>
        <b/>
        <sz val="9"/>
        <color theme="1"/>
        <rFont val="Arial"/>
        <family val="2"/>
      </rPr>
      <t>24.926,56 €</t>
    </r>
  </si>
  <si>
    <t>27 - IVA - Liquidado</t>
  </si>
  <si>
    <t>28 -  IVA - Dedutível</t>
  </si>
  <si>
    <r>
      <t>Variação da Produção : Ef – Ei = (1.000 m</t>
    </r>
    <r>
      <rPr>
        <vertAlign val="superscript"/>
        <sz val="9"/>
        <color theme="1"/>
        <rFont val="Arial"/>
        <family val="2"/>
      </rPr>
      <t>2</t>
    </r>
    <r>
      <rPr>
        <sz val="9"/>
        <color theme="1"/>
        <rFont val="Arial"/>
        <family val="2"/>
      </rPr>
      <t xml:space="preserve"> * 8,55625 €) - (1.500 m</t>
    </r>
    <r>
      <rPr>
        <vertAlign val="superscript"/>
        <sz val="9"/>
        <color theme="1"/>
        <rFont val="Arial"/>
        <family val="2"/>
      </rPr>
      <t>2</t>
    </r>
    <r>
      <rPr>
        <sz val="9"/>
        <color theme="1"/>
        <rFont val="Arial"/>
        <family val="2"/>
      </rPr>
      <t xml:space="preserve"> * 8,246875 €)  = (-3.814,0625 €)</t>
    </r>
  </si>
  <si>
    <t>29 - IVA - Apuramento</t>
  </si>
  <si>
    <t>27 - Disponibilidades iniciais</t>
  </si>
  <si>
    <t>30 - IVA - A pagar/receber</t>
  </si>
  <si>
    <r>
      <t>Variação da Produção (Acumulado) : Ef – Ei = (1.000 m</t>
    </r>
    <r>
      <rPr>
        <vertAlign val="superscript"/>
        <sz val="9"/>
        <color theme="1"/>
        <rFont val="Arial"/>
        <family val="2"/>
      </rPr>
      <t>2</t>
    </r>
    <r>
      <rPr>
        <sz val="9"/>
        <color theme="1"/>
        <rFont val="Arial"/>
        <family val="2"/>
      </rPr>
      <t xml:space="preserve"> * 8,55625 €) - 0 = 8.556,25 €</t>
    </r>
  </si>
  <si>
    <t xml:space="preserve">28 - Aumento de capital </t>
  </si>
  <si>
    <t>29 - Vendas a dinheiro</t>
  </si>
  <si>
    <r>
      <t>IVA liquidado: 1.500 m</t>
    </r>
    <r>
      <rPr>
        <vertAlign val="superscript"/>
        <sz val="9"/>
        <color theme="1"/>
        <rFont val="Arial"/>
        <family val="2"/>
      </rPr>
      <t>2</t>
    </r>
    <r>
      <rPr>
        <sz val="9"/>
        <color theme="1"/>
        <rFont val="Arial"/>
        <family val="2"/>
      </rPr>
      <t xml:space="preserve"> * 15 € * 23% = 5175 €</t>
    </r>
  </si>
  <si>
    <t>30 - Recebimento de Clientes</t>
  </si>
  <si>
    <t>31 - Financiamentos obtidos</t>
  </si>
  <si>
    <t>8 – Empréstimo obtido</t>
  </si>
  <si>
    <r>
      <t>IVA Dedutível: (50 m</t>
    </r>
    <r>
      <rPr>
        <vertAlign val="superscript"/>
        <sz val="9"/>
        <color theme="1"/>
        <rFont val="Arial"/>
        <family val="2"/>
      </rPr>
      <t>3</t>
    </r>
    <r>
      <rPr>
        <sz val="9"/>
        <color theme="1"/>
        <rFont val="Arial"/>
        <family val="2"/>
      </rPr>
      <t xml:space="preserve"> * 250 € * 23%) + (2.250 * 23%) + (150.000 * 23%) = 37.892,5  €</t>
    </r>
  </si>
  <si>
    <t>32 – Compras a pronto</t>
  </si>
  <si>
    <t>9 – Compras a pronto</t>
  </si>
  <si>
    <t xml:space="preserve">33 - Pagamento a Fornecedores </t>
  </si>
  <si>
    <t>10 -  Pagamento de rendas</t>
  </si>
  <si>
    <t>34 – Pagamento do IVA</t>
  </si>
  <si>
    <t>11 - Pagamento de débitos a fornecedores</t>
  </si>
  <si>
    <t>35 – Gastos com o pessoal</t>
  </si>
  <si>
    <t>12 - Disponibilidades finais</t>
  </si>
  <si>
    <t>31 - Disponibilidades iniciais</t>
  </si>
  <si>
    <t xml:space="preserve">36 - Rendas </t>
  </si>
  <si>
    <t>37 – Reembolso do Empréstimo</t>
  </si>
  <si>
    <t xml:space="preserve">32 - Aumento de capital </t>
  </si>
  <si>
    <t>38 – Pagamento de juros</t>
  </si>
  <si>
    <t>33 - Vendas a dinheiro</t>
  </si>
  <si>
    <t>39 - Pagamento a fornecedores de equipamentos</t>
  </si>
  <si>
    <t>34 - Recebimento de Clientes</t>
  </si>
  <si>
    <t>40 – Pagamento à Segurança Social</t>
  </si>
  <si>
    <t>35 – Financiamentos obtidos</t>
  </si>
  <si>
    <t xml:space="preserve">41- Pagamento de IRS retido na fonte </t>
  </si>
  <si>
    <r>
      <t>CIPV = (1.500 m</t>
    </r>
    <r>
      <rPr>
        <vertAlign val="superscript"/>
        <sz val="9"/>
        <color theme="1"/>
        <rFont val="Arial"/>
        <family val="2"/>
      </rPr>
      <t>2</t>
    </r>
    <r>
      <rPr>
        <sz val="9"/>
        <color theme="1"/>
        <rFont val="Arial"/>
        <family val="2"/>
      </rPr>
      <t xml:space="preserve"> * 8,246875 €) + (3.000 m</t>
    </r>
    <r>
      <rPr>
        <vertAlign val="superscript"/>
        <sz val="9"/>
        <color theme="1"/>
        <rFont val="Arial"/>
        <family val="2"/>
      </rPr>
      <t>2</t>
    </r>
    <r>
      <rPr>
        <sz val="9"/>
        <color theme="1"/>
        <rFont val="Arial"/>
        <family val="2"/>
      </rPr>
      <t xml:space="preserve"> * 8,55625 €)  = 38.039,0625 €</t>
    </r>
  </si>
  <si>
    <t>14 - Clientes</t>
  </si>
  <si>
    <t>42 – Pagamento de consumo de eletricidade</t>
  </si>
  <si>
    <t>15 – E. O. E. P. – IVA Dedutível</t>
  </si>
  <si>
    <t>36 – Compras a pronto</t>
  </si>
  <si>
    <t>43 - Disponibilidades finais</t>
  </si>
  <si>
    <t xml:space="preserve">37 - Pagamento a Fornecedores </t>
  </si>
  <si>
    <r>
      <t xml:space="preserve">17 – </t>
    </r>
    <r>
      <rPr>
        <i/>
        <sz val="9"/>
        <color theme="1"/>
        <rFont val="Arial"/>
        <family val="2"/>
      </rPr>
      <t>Total do Activo</t>
    </r>
  </si>
  <si>
    <t>38 – Pagamento do IVA</t>
  </si>
  <si>
    <t>39 – Gastos com o pessoal</t>
  </si>
  <si>
    <t xml:space="preserve">40 – Rendas </t>
  </si>
  <si>
    <t>41 – Reembolso do Empréstimo</t>
  </si>
  <si>
    <t>42 – Pagamento de juros</t>
  </si>
  <si>
    <t>45 - Depreciações acumuladas</t>
  </si>
  <si>
    <t>30 - IVA - A receber</t>
  </si>
  <si>
    <t>21 - Fornecedores</t>
  </si>
  <si>
    <t>43 - Pagamento a fornecedores de equipamentos</t>
  </si>
  <si>
    <t>46 – Ativo fixo líquidas</t>
  </si>
  <si>
    <t>22 – E. O. E. P. – IVA Liquidado</t>
  </si>
  <si>
    <t>44 - Disponibilidades finais</t>
  </si>
  <si>
    <t>47 – Inventários – Produtos Acabados</t>
  </si>
  <si>
    <r>
      <t xml:space="preserve">23 - </t>
    </r>
    <r>
      <rPr>
        <i/>
        <sz val="9"/>
        <color theme="1"/>
        <rFont val="Arial"/>
        <family val="2"/>
      </rPr>
      <t>Total do Capital Próprio e Passivo</t>
    </r>
  </si>
  <si>
    <t>48 – Inventários – Matérias Primas</t>
  </si>
  <si>
    <r>
      <t>IVA liquidado: 4.500 m</t>
    </r>
    <r>
      <rPr>
        <vertAlign val="superscript"/>
        <sz val="9"/>
        <color theme="1"/>
        <rFont val="Arial"/>
        <family val="2"/>
      </rPr>
      <t>2</t>
    </r>
    <r>
      <rPr>
        <sz val="9"/>
        <color theme="1"/>
        <rFont val="Arial"/>
        <family val="2"/>
      </rPr>
      <t xml:space="preserve"> * 16 € * 19% = 13.680 €</t>
    </r>
  </si>
  <si>
    <t>49 – Clientes</t>
  </si>
  <si>
    <t>50 – E.O. E. P. – IVA Dedutível</t>
  </si>
  <si>
    <r>
      <t>IVA Dedutível: (50 m</t>
    </r>
    <r>
      <rPr>
        <vertAlign val="superscript"/>
        <sz val="9"/>
        <color theme="1"/>
        <rFont val="Arial"/>
        <family val="2"/>
      </rPr>
      <t>3</t>
    </r>
    <r>
      <rPr>
        <sz val="9"/>
        <color theme="1"/>
        <rFont val="Arial"/>
        <family val="2"/>
      </rPr>
      <t xml:space="preserve"> * 260 € * 19%) + (4.500 * 5%) = 2.470 € + 225 € = 2.695  €</t>
    </r>
  </si>
  <si>
    <t>24 - IVA Liquidado</t>
  </si>
  <si>
    <r>
      <t xml:space="preserve">52 – </t>
    </r>
    <r>
      <rPr>
        <i/>
        <sz val="9"/>
        <color theme="1"/>
        <rFont val="Arial"/>
        <family val="2"/>
      </rPr>
      <t>Total do Ativo</t>
    </r>
  </si>
  <si>
    <t>25 - IVA  Dedutível</t>
  </si>
  <si>
    <t>46 – Depreciações acumuladas</t>
  </si>
  <si>
    <t>26 - IVA  Apuramento</t>
  </si>
  <si>
    <t>27 - IVA  a  Pagar</t>
  </si>
  <si>
    <t>48 – Inventários – Produtos Acabados</t>
  </si>
  <si>
    <t>55 - Fornecedores de ativo fixo</t>
  </si>
  <si>
    <t>56 – E. O. E. P. – IVA Liquidado</t>
  </si>
  <si>
    <t xml:space="preserve">32 – Aumento de capital </t>
  </si>
  <si>
    <t>57- E. O. E.P. – Contribuições para a Segurança Social</t>
  </si>
  <si>
    <t>33 – Vendas a dinheiro</t>
  </si>
  <si>
    <t>58 - E. O. E.P. – Retenção de Imposto sobre o rendimento</t>
  </si>
  <si>
    <t>34 – Recebimento de Clientes</t>
  </si>
  <si>
    <t>59 - Fornecedores</t>
  </si>
  <si>
    <t>35 – Empréstimos obtidos</t>
  </si>
  <si>
    <r>
      <t xml:space="preserve">62 - </t>
    </r>
    <r>
      <rPr>
        <i/>
        <sz val="9"/>
        <color theme="1"/>
        <rFont val="Arial"/>
        <family val="2"/>
      </rPr>
      <t>Total do Capital Próprio e Passivo</t>
    </r>
  </si>
  <si>
    <t xml:space="preserve">37 – Pagamento a Fornecedores </t>
  </si>
  <si>
    <t>Produção  = 40 m 2 * 100 m 3 = 4.000 m 2 (1 m 3 bloco =&gt; 40 m 2 chapa)</t>
  </si>
  <si>
    <t>N.º dias de consumo = 4.000 m 2 / 320 m 2 por dia = 12,5 dias</t>
  </si>
  <si>
    <t>43 – Pagamento a fornecedores de equipamentos</t>
  </si>
  <si>
    <t>44 – Pagamento à Segurança Social</t>
  </si>
  <si>
    <t xml:space="preserve">45- Pagamento de IRS retido na fonte </t>
  </si>
  <si>
    <t>46 – Pagamento a Outros Credores</t>
  </si>
  <si>
    <t>47 – Disponibilidades finais</t>
  </si>
  <si>
    <t>EOEP – Contribuições para a Segurança Social = 1.000 * 11% = 110  € (Retenção na fonte)</t>
  </si>
  <si>
    <r>
      <t>Vendas a dinheiro = 1.000 m</t>
    </r>
    <r>
      <rPr>
        <vertAlign val="superscript"/>
        <sz val="9"/>
        <color theme="1"/>
        <rFont val="Arial"/>
        <family val="2"/>
      </rPr>
      <t>2</t>
    </r>
    <r>
      <rPr>
        <sz val="9"/>
        <color theme="1"/>
        <rFont val="Arial"/>
        <family val="2"/>
      </rPr>
      <t xml:space="preserve"> * 16 € * 1,19 = 19.040 €</t>
    </r>
  </si>
  <si>
    <t>EOEP – Contribuições para a Segurança Social = 1.000 * 23,75% = 237,5  € (Encargos da entidade patronal)</t>
  </si>
  <si>
    <t>EOEP – Imposto sobre o rendimento = 1.000 * 10% = 100 € (Retenção na fonte)</t>
  </si>
  <si>
    <t>Outros Credores = 4.500 * 1,23 = 5.535 € (Consumo de energia)</t>
  </si>
  <si>
    <t>48 – Ativo fixo bruto</t>
  </si>
  <si>
    <t>49 – Depreciações acumuladas</t>
  </si>
  <si>
    <t>Existências – Matéria Primas = 50 m 3 * 260 € = 13.000</t>
  </si>
  <si>
    <t>50 - Ativo fixo liquid</t>
  </si>
  <si>
    <t>51 – Inventários – Produtos Acabados</t>
  </si>
  <si>
    <t>52 – Inventários – Matérias Primas</t>
  </si>
  <si>
    <t>53 – Clientes</t>
  </si>
  <si>
    <t>54 – E.O. E. P. – IVA Dedutível</t>
  </si>
  <si>
    <t>63 - IVA - Liquidado</t>
  </si>
  <si>
    <t>55 – Disponibilidades</t>
  </si>
  <si>
    <t>64-  IVA - Dedutível</t>
  </si>
  <si>
    <r>
      <t xml:space="preserve">56 – </t>
    </r>
    <r>
      <rPr>
        <i/>
        <sz val="9"/>
        <color theme="1"/>
        <rFont val="Arial"/>
        <family val="2"/>
      </rPr>
      <t>Total do Ativo</t>
    </r>
  </si>
  <si>
    <t>65 - IVA - Apuramento</t>
  </si>
  <si>
    <t>66 - IVA - A receber</t>
  </si>
  <si>
    <t>58 - Resultado Líquido do Exercício (Lucro/Prejuízo)</t>
  </si>
  <si>
    <t>59 - Fornecedores de ativo fixo</t>
  </si>
  <si>
    <r>
      <t>IVA liquidado: 3.000 m</t>
    </r>
    <r>
      <rPr>
        <vertAlign val="superscript"/>
        <sz val="9"/>
        <color theme="1"/>
        <rFont val="Arial"/>
        <family val="2"/>
      </rPr>
      <t>2</t>
    </r>
    <r>
      <rPr>
        <sz val="9"/>
        <color theme="1"/>
        <rFont val="Arial"/>
        <family val="2"/>
      </rPr>
      <t xml:space="preserve"> * 15 € * 23% = 10.350 €</t>
    </r>
  </si>
  <si>
    <t>60 – E. O. E. P. – IVA Liquidado</t>
  </si>
  <si>
    <t>61- E. O. E.P. – Contribuições para a Segurança Social</t>
  </si>
  <si>
    <r>
      <t>IVA Dedutível: (150 m</t>
    </r>
    <r>
      <rPr>
        <vertAlign val="superscript"/>
        <sz val="9"/>
        <color theme="1"/>
        <rFont val="Arial"/>
        <family val="2"/>
      </rPr>
      <t>3</t>
    </r>
    <r>
      <rPr>
        <sz val="9"/>
        <color theme="1"/>
        <rFont val="Arial"/>
        <family val="2"/>
      </rPr>
      <t xml:space="preserve"> * 260 € * 23%) + (4.500 * 23%) = 10.005  €</t>
    </r>
  </si>
  <si>
    <t>62 - E. O. E.P. – Retenção de Imposto sobre o rendimento</t>
  </si>
  <si>
    <t>63 - Fornecedores</t>
  </si>
  <si>
    <t>64 - Outros Credores</t>
  </si>
  <si>
    <t>65 – Financiamentos Obtidos</t>
  </si>
  <si>
    <r>
      <t xml:space="preserve">66 - </t>
    </r>
    <r>
      <rPr>
        <i/>
        <sz val="9"/>
        <color theme="1"/>
        <rFont val="Arial"/>
        <family val="2"/>
      </rPr>
      <t>Total do Capital Próprio e Passivo</t>
    </r>
  </si>
  <si>
    <t>Após apresentação das contas, depois do cálculo do imposto, tem-se então:</t>
  </si>
  <si>
    <t>1 – Vendas de Mercadorias</t>
  </si>
  <si>
    <t>2 – Vendas de Produtos</t>
  </si>
  <si>
    <t>3 – Variação da Produção</t>
  </si>
  <si>
    <t>4 – Total de Proveitos</t>
  </si>
  <si>
    <t>5 – Custo das Mercadorias Vendidas</t>
  </si>
  <si>
    <t>6 - Custo das Matérias Consumidas</t>
  </si>
  <si>
    <t>7 – Custos com o Pessoal</t>
  </si>
  <si>
    <t>8 - Energia</t>
  </si>
  <si>
    <t>9 - Amortizações</t>
  </si>
  <si>
    <t>10 - Rendas e Alugueres</t>
  </si>
  <si>
    <t>11 – Juros</t>
  </si>
  <si>
    <t>12 - Custos Extraordinários</t>
  </si>
  <si>
    <t>13 – Total de Custos</t>
  </si>
  <si>
    <t>14 – Resultado antes de Impostos</t>
  </si>
  <si>
    <t>15 - IRC</t>
  </si>
  <si>
    <t>16-Resultado Líquido do Exercício</t>
  </si>
  <si>
    <t>17 – Vendas de Mercadorias</t>
  </si>
  <si>
    <t>18 – Vendas de Produtos</t>
  </si>
  <si>
    <t>19 – Custo das Mercadorias Vendidas</t>
  </si>
  <si>
    <t>20 – Custo Industrial dos Produtos Vendidos</t>
  </si>
  <si>
    <t>21 - Rendas e Alugueres</t>
  </si>
  <si>
    <t>22 – Custos Financeiros</t>
  </si>
  <si>
    <t>23 – Custos e Perdas  Extraordinários</t>
  </si>
  <si>
    <t>24 – Resultados antes de Impostos</t>
  </si>
  <si>
    <t>25 – Imposto sobre o Rendimento</t>
  </si>
  <si>
    <t xml:space="preserve">26 - Resultado Líquido Exercício </t>
  </si>
  <si>
    <t>27 – Ativo fixo bruto</t>
  </si>
  <si>
    <t>28 – Depreciações acumuladas</t>
  </si>
  <si>
    <t>29 - Ativo fixo bruto líquido</t>
  </si>
  <si>
    <t>30 – Inventários – Produtos Acabados</t>
  </si>
  <si>
    <t>31 – Inventários – Matérias Primas</t>
  </si>
  <si>
    <t>32 – Clientes</t>
  </si>
  <si>
    <t>33 – E.O. E. P. – IVA Dedutível</t>
  </si>
  <si>
    <t>34 – Disponibilidades</t>
  </si>
  <si>
    <r>
      <t xml:space="preserve">35 – </t>
    </r>
    <r>
      <rPr>
        <i/>
        <sz val="9"/>
        <color theme="1"/>
        <rFont val="Arial"/>
        <family val="2"/>
      </rPr>
      <t>Total do Ativo</t>
    </r>
  </si>
  <si>
    <t xml:space="preserve">36 - Capital </t>
  </si>
  <si>
    <t xml:space="preserve">37 - Resultado Líquido do Exercício </t>
  </si>
  <si>
    <t>38 - Fornecedores de ativo fixo</t>
  </si>
  <si>
    <t>39 – E. O. E. P. – IVA Liquidado</t>
  </si>
  <si>
    <t>40 - E. O. E.P. – Contribuições para a Segurança Social</t>
  </si>
  <si>
    <t>41 - E. O. E.P. – Retenção de Imposto sobre o rendimento</t>
  </si>
  <si>
    <t>42 - E. O. E.P. – Imposto sobre o rendimento</t>
  </si>
  <si>
    <t>43 - Fornecedores</t>
  </si>
  <si>
    <t>44 - Outros Credores</t>
  </si>
  <si>
    <t>45 - Financiamentos Obtidos</t>
  </si>
  <si>
    <r>
      <t xml:space="preserve">46 - </t>
    </r>
    <r>
      <rPr>
        <i/>
        <sz val="9"/>
        <color theme="1"/>
        <rFont val="Arial"/>
        <family val="2"/>
      </rPr>
      <t>Total do Capital Próprio e Passivo</t>
    </r>
  </si>
  <si>
    <t>Investimento inicial em capital</t>
  </si>
  <si>
    <t>Situação 2</t>
  </si>
  <si>
    <t>Situação 3</t>
  </si>
  <si>
    <t>Situação 4</t>
  </si>
  <si>
    <t>Situação 5</t>
  </si>
  <si>
    <t>4 – Gastos com depreciações e amortizações</t>
  </si>
  <si>
    <t>14 – Gastos com depreciações e amortizações</t>
  </si>
  <si>
    <t>16 – Juros e gastos similares suportados</t>
  </si>
  <si>
    <t>17 – Imparidade de inventários (perdas)</t>
  </si>
  <si>
    <t>18 – Result. Líq. Período (Lucro/Prejuízo)</t>
  </si>
  <si>
    <t>44 – Ativo fixo tangível</t>
  </si>
  <si>
    <t>51 – Caixa e depósitos bancários</t>
  </si>
  <si>
    <t>54 – Resultado Líquido do Período (Lucro/Prejuízo)</t>
  </si>
  <si>
    <t>60 – Outras contas a pagar</t>
  </si>
  <si>
    <t>61 – Financiamentos Obtidos</t>
  </si>
  <si>
    <t>24 – Juros e gastos similares suportados</t>
  </si>
  <si>
    <t>25 – Imparidade de inventários (perdas)</t>
  </si>
  <si>
    <t>26 – Result. Líq. Período (Lucro/Prejuízo )</t>
  </si>
  <si>
    <t>14 – Gastos de depreciações e amortizações</t>
  </si>
  <si>
    <t>4 – Gastos de depreciações e amortizações</t>
  </si>
  <si>
    <t>60 – Outras contas a pagar (eletricidade)</t>
  </si>
  <si>
    <t>54 – Resultado Líquido do período (Lucro/Prejuízo)</t>
  </si>
  <si>
    <t>53 - Capital realizado</t>
  </si>
  <si>
    <t>57 - Capital realizado</t>
  </si>
  <si>
    <t>47 – Ativo fixo liquido</t>
  </si>
  <si>
    <t>45 – Ativo fixo tangível</t>
  </si>
  <si>
    <t>25 – Imparidades de inventários (perdas)</t>
  </si>
  <si>
    <t>18 – Result. Líq. do período (Lucro/Prejuízo)</t>
  </si>
  <si>
    <t>Gastos com o pessoal</t>
  </si>
  <si>
    <t>23 – Financiamentos obtidos</t>
  </si>
  <si>
    <t>22 – Resultado Líquido do período (Lucro/Prejuízo)</t>
  </si>
  <si>
    <t>21 - Capital realizado</t>
  </si>
  <si>
    <t>19 – Caixa e depósitos bancários</t>
  </si>
  <si>
    <t>16 – Inventários - Mercadorias</t>
  </si>
  <si>
    <t>10 – Financiamento obtido</t>
  </si>
  <si>
    <t>6 – Resultado Líquido do período (Lucro/Prejuízo)</t>
  </si>
  <si>
    <t>5 – Imparidade de inventários (perdas)</t>
  </si>
  <si>
    <t>18 - Capital realizado</t>
  </si>
  <si>
    <t>19 – Resultado Líquido do período (Lucro/Prejuízo)</t>
  </si>
  <si>
    <t>20 – Financiamentos obtidos</t>
  </si>
  <si>
    <t>16 – Caixa e depósitos bancários</t>
  </si>
  <si>
    <t>13 – Inventários - Mercadorias</t>
  </si>
  <si>
    <t>Pagamentos a fornecedores</t>
  </si>
  <si>
    <t>Recebimento de clientes</t>
  </si>
  <si>
    <t>4 – Result. Líquido do período (Lucro/Prejuízo)</t>
  </si>
  <si>
    <t>13 – Caixa e depósitos bancários</t>
  </si>
  <si>
    <t>10 – Inventários</t>
  </si>
  <si>
    <t>16 – Resultado Líquido do período (Lucro/Prejuízo)</t>
  </si>
  <si>
    <t>15 – Resultado Líquido do período (Lucro/Prejuízo)</t>
  </si>
  <si>
    <t>12 – Caixa e depósitos bancários</t>
  </si>
  <si>
    <t>4 – Resultado Líquido do período (Lucro/Prejuízo)</t>
  </si>
  <si>
    <t xml:space="preserve"> </t>
  </si>
  <si>
    <t>14 – Caixa e depósitos bancários</t>
  </si>
  <si>
    <t>17 – Resultado Líquido do período (Lucro/Prejuízo)</t>
  </si>
  <si>
    <r>
      <t>Preço de venda do m</t>
    </r>
    <r>
      <rPr>
        <vertAlign val="superscript"/>
        <sz val="9"/>
        <color theme="1"/>
        <rFont val="Arial"/>
        <family val="2"/>
      </rPr>
      <t>3</t>
    </r>
    <r>
      <rPr>
        <sz val="9"/>
        <color theme="1"/>
        <rFont val="Arial"/>
        <family val="2"/>
      </rPr>
      <t xml:space="preserve"> de mármore</t>
    </r>
  </si>
  <si>
    <t>1 – Vendas e serviços prestados</t>
  </si>
  <si>
    <t>2 – Custo das Mercadorias Vendidas</t>
  </si>
  <si>
    <t>3 – Resultado Líquido do período (Lucro/Prejuízo)</t>
  </si>
  <si>
    <t>4 – Disponibilidades iniciais</t>
  </si>
  <si>
    <t>5 – Vendas a dinheiro</t>
  </si>
  <si>
    <t>6 – Compras pagas a pronto</t>
  </si>
  <si>
    <t>7 – Disponibilidades finais</t>
  </si>
  <si>
    <t>8 – Clientes</t>
  </si>
  <si>
    <t>9 – Caixa e depósitos bancários</t>
  </si>
  <si>
    <r>
      <t xml:space="preserve">10 – </t>
    </r>
    <r>
      <rPr>
        <i/>
        <sz val="9"/>
        <color theme="1"/>
        <rFont val="Arial"/>
        <family val="2"/>
      </rPr>
      <t>Total do Ativo</t>
    </r>
  </si>
  <si>
    <t>11 – Capital  realizado</t>
  </si>
  <si>
    <t>12 – Resultado Líquido do período (Lucro/Prejuízo)</t>
  </si>
  <si>
    <t>13 – Fornecedores</t>
  </si>
  <si>
    <r>
      <t xml:space="preserve">14 – </t>
    </r>
    <r>
      <rPr>
        <i/>
        <sz val="9"/>
        <color theme="1"/>
        <rFont val="Arial"/>
        <family val="2"/>
      </rPr>
      <t>Total do Capital Próprio e Passivo</t>
    </r>
  </si>
  <si>
    <r>
      <t>Custo de um m</t>
    </r>
    <r>
      <rPr>
        <vertAlign val="superscript"/>
        <sz val="9"/>
        <color theme="1"/>
        <rFont val="Arial"/>
        <family val="2"/>
      </rPr>
      <t>3</t>
    </r>
    <r>
      <rPr>
        <sz val="9"/>
        <color theme="1"/>
        <rFont val="Arial"/>
        <family val="2"/>
      </rPr>
      <t xml:space="preserve"> de mármore</t>
    </r>
  </si>
  <si>
    <r>
      <t>Quantidade de m</t>
    </r>
    <r>
      <rPr>
        <vertAlign val="superscript"/>
        <sz val="9"/>
        <color theme="1"/>
        <rFont val="Arial"/>
        <family val="2"/>
      </rPr>
      <t>3</t>
    </r>
    <r>
      <rPr>
        <sz val="9"/>
        <color theme="1"/>
        <rFont val="Arial"/>
        <family val="2"/>
      </rPr>
      <t xml:space="preserve"> comprados a pronto</t>
    </r>
  </si>
  <si>
    <r>
      <t>Quantidade de m</t>
    </r>
    <r>
      <rPr>
        <vertAlign val="superscript"/>
        <sz val="9"/>
        <color theme="1"/>
        <rFont val="Arial"/>
        <family val="2"/>
      </rPr>
      <t>3</t>
    </r>
    <r>
      <rPr>
        <sz val="9"/>
        <color theme="1"/>
        <rFont val="Arial"/>
        <family val="2"/>
      </rPr>
      <t xml:space="preserve"> vendidos a crédito (1 mês)</t>
    </r>
  </si>
  <si>
    <t>12 – Resultado líquido do período  (Lucro/Prejuízo)</t>
  </si>
  <si>
    <r>
      <t xml:space="preserve">13 – </t>
    </r>
    <r>
      <rPr>
        <i/>
        <sz val="9"/>
        <color theme="1"/>
        <rFont val="Arial"/>
        <family val="2"/>
      </rPr>
      <t>Total do Capital Próprio e Passivo</t>
    </r>
  </si>
  <si>
    <r>
      <t>Número de m</t>
    </r>
    <r>
      <rPr>
        <vertAlign val="superscript"/>
        <sz val="9"/>
        <color theme="1"/>
        <rFont val="Arial"/>
        <family val="2"/>
      </rPr>
      <t>3</t>
    </r>
    <r>
      <rPr>
        <sz val="9"/>
        <color theme="1"/>
        <rFont val="Arial"/>
        <family val="2"/>
      </rPr>
      <t xml:space="preserve"> vendidos a pronto</t>
    </r>
  </si>
  <si>
    <t>6 – Compras a pronto</t>
  </si>
  <si>
    <t>8 – Caixa e depósitos bancários</t>
  </si>
  <si>
    <r>
      <t xml:space="preserve">9 – </t>
    </r>
    <r>
      <rPr>
        <i/>
        <sz val="9"/>
        <color theme="1"/>
        <rFont val="Arial"/>
        <family val="2"/>
      </rPr>
      <t>Total do Ativo</t>
    </r>
  </si>
  <si>
    <t>10 – Capital realizado</t>
  </si>
  <si>
    <t>11 – Resultado Líquido do período (Lucro/Prejuízo)</t>
  </si>
  <si>
    <r>
      <t xml:space="preserve">12 – </t>
    </r>
    <r>
      <rPr>
        <i/>
        <sz val="9"/>
        <color theme="1"/>
        <rFont val="Arial"/>
        <family val="2"/>
      </rPr>
      <t>Total do Capital Próprio e Passivo</t>
    </r>
  </si>
  <si>
    <t>1 – Disponibilidades iniciais</t>
  </si>
  <si>
    <t>2 – Entrada para capital</t>
  </si>
  <si>
    <t>3 – Disponibilidades finais</t>
  </si>
  <si>
    <t>4 – Caixa e depósitos bancários</t>
  </si>
  <si>
    <r>
      <t xml:space="preserve">5 – </t>
    </r>
    <r>
      <rPr>
        <i/>
        <sz val="9"/>
        <color theme="1"/>
        <rFont val="Arial"/>
        <family val="2"/>
      </rPr>
      <t>Total do Ativo</t>
    </r>
  </si>
  <si>
    <t>6 – Capital realizado</t>
  </si>
  <si>
    <r>
      <t xml:space="preserve">7 – </t>
    </r>
    <r>
      <rPr>
        <i/>
        <sz val="9"/>
        <color theme="1"/>
        <rFont val="Arial"/>
        <family val="2"/>
      </rPr>
      <t>Total do Capital Próprio e Passivo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</si>
</sst>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#,##0\ &quot;€&quot;;[Red]\-#,##0\ &quot;€&quot;"/>
    <numFmt numFmtId="8" formatCode="#,##0.00\ &quot;€&quot;;[Red]\-#,##0.00\ &quot;€&quot;"/>
    <numFmt numFmtId="44" formatCode="_-* #,##0.00\ &quot;€&quot;_-;\-* #,##0.00\ &quot;€&quot;_-;_-* &quot;-&quot;??\ &quot;€&quot;_-;_-@_-"/>
    <numFmt numFmtId="171" formatCode="_-* #,##0.00000\ &quot;€&quot;_-;\-* #,##0.00000\ &quot;€&quot;_-;_-* &quot;-&quot;??\ &quot;€&quot;_-;_-@_-"/>
    <numFmt numFmtId="172" formatCode="_-* #,##0.000000\ &quot;€&quot;_-;\-* #,##0.000000\ &quot;€&quot;_-;_-* &quot;-&quot;??\ &quot;€&quot;_-;_-@_-"/>
  </numFmts>
  <fonts count="7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vertAlign val="superscript"/>
      <sz val="9"/>
      <color theme="1"/>
      <name val="Arial"/>
      <family val="2"/>
    </font>
    <font>
      <b/>
      <i/>
      <sz val="9"/>
      <color theme="1"/>
      <name val="Arial"/>
      <family val="2"/>
    </font>
    <font>
      <i/>
      <sz val="9"/>
      <color theme="1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139">
    <xf numFmtId="0" fontId="0" fillId="0" borderId="0" xfId="0"/>
    <xf numFmtId="0" fontId="2" fillId="0" borderId="0" xfId="0" applyFont="1" applyFill="1"/>
    <xf numFmtId="9" fontId="2" fillId="0" borderId="0" xfId="0" applyNumberFormat="1" applyFont="1" applyFill="1"/>
    <xf numFmtId="0" fontId="2" fillId="2" borderId="0" xfId="0" applyFont="1" applyFill="1"/>
    <xf numFmtId="0" fontId="2" fillId="2" borderId="0" xfId="0" applyFont="1" applyFill="1" applyAlignment="1">
      <alignment horizontal="left"/>
    </xf>
    <xf numFmtId="0" fontId="2" fillId="0" borderId="0" xfId="0" applyFont="1" applyFill="1" applyBorder="1"/>
    <xf numFmtId="9" fontId="2" fillId="0" borderId="0" xfId="0" applyNumberFormat="1" applyFont="1" applyFill="1" applyBorder="1"/>
    <xf numFmtId="44" fontId="2" fillId="0" borderId="0" xfId="1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vertical="top" wrapText="1"/>
    </xf>
    <xf numFmtId="0" fontId="2" fillId="0" borderId="0" xfId="0" applyFont="1" applyFill="1" applyBorder="1" applyAlignment="1">
      <alignment horizontal="center" vertical="top" wrapText="1"/>
    </xf>
    <xf numFmtId="6" fontId="2" fillId="0" borderId="0" xfId="0" applyNumberFormat="1" applyFont="1" applyFill="1" applyBorder="1" applyAlignment="1">
      <alignment horizontal="center" vertical="top" wrapText="1"/>
    </xf>
    <xf numFmtId="3" fontId="2" fillId="0" borderId="0" xfId="0" applyNumberFormat="1" applyFont="1" applyFill="1" applyBorder="1" applyAlignment="1">
      <alignment horizontal="center" vertical="top" wrapText="1"/>
    </xf>
    <xf numFmtId="9" fontId="2" fillId="0" borderId="0" xfId="0" applyNumberFormat="1" applyFont="1" applyFill="1" applyBorder="1" applyAlignment="1">
      <alignment horizontal="center" vertical="top" wrapText="1"/>
    </xf>
    <xf numFmtId="44" fontId="2" fillId="0" borderId="0" xfId="1" applyFont="1" applyFill="1" applyBorder="1"/>
    <xf numFmtId="44" fontId="2" fillId="0" borderId="0" xfId="1" applyFont="1" applyFill="1" applyBorder="1" applyAlignment="1">
      <alignment horizontal="right" vertical="top" wrapText="1"/>
    </xf>
    <xf numFmtId="44" fontId="1" fillId="0" borderId="0" xfId="1" applyFont="1" applyFill="1" applyBorder="1" applyAlignment="1">
      <alignment horizontal="right" vertical="top" wrapText="1"/>
    </xf>
    <xf numFmtId="0" fontId="2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horizontal="justify" vertical="top" wrapText="1"/>
    </xf>
    <xf numFmtId="0" fontId="2" fillId="0" borderId="5" xfId="0" applyFont="1" applyFill="1" applyBorder="1" applyAlignment="1">
      <alignment vertical="top" wrapText="1"/>
    </xf>
    <xf numFmtId="0" fontId="2" fillId="0" borderId="5" xfId="0" applyFont="1" applyFill="1" applyBorder="1" applyAlignment="1">
      <alignment horizontal="center" vertical="top" wrapText="1"/>
    </xf>
    <xf numFmtId="6" fontId="2" fillId="0" borderId="5" xfId="0" applyNumberFormat="1" applyFont="1" applyFill="1" applyBorder="1" applyAlignment="1">
      <alignment horizontal="center" vertical="top" wrapText="1"/>
    </xf>
    <xf numFmtId="3" fontId="2" fillId="0" borderId="5" xfId="0" applyNumberFormat="1" applyFont="1" applyFill="1" applyBorder="1" applyAlignment="1">
      <alignment horizontal="center" vertical="top" wrapText="1"/>
    </xf>
    <xf numFmtId="44" fontId="2" fillId="0" borderId="5" xfId="1" applyFont="1" applyFill="1" applyBorder="1" applyAlignment="1">
      <alignment horizontal="center" vertical="top" wrapText="1"/>
    </xf>
    <xf numFmtId="0" fontId="2" fillId="0" borderId="6" xfId="0" applyFont="1" applyFill="1" applyBorder="1" applyAlignment="1">
      <alignment horizontal="justify" vertical="top" wrapText="1"/>
    </xf>
    <xf numFmtId="9" fontId="2" fillId="0" borderId="7" xfId="0" applyNumberFormat="1" applyFont="1" applyFill="1" applyBorder="1" applyAlignment="1">
      <alignment horizontal="center" vertical="top" wrapText="1"/>
    </xf>
    <xf numFmtId="0" fontId="2" fillId="0" borderId="8" xfId="0" applyFont="1" applyFill="1" applyBorder="1" applyAlignment="1">
      <alignment horizontal="center" vertical="top" wrapText="1"/>
    </xf>
    <xf numFmtId="0" fontId="1" fillId="0" borderId="9" xfId="0" applyFont="1" applyFill="1" applyBorder="1" applyAlignment="1">
      <alignment horizontal="center" vertical="top" wrapText="1"/>
    </xf>
    <xf numFmtId="0" fontId="1" fillId="0" borderId="10" xfId="0" applyFont="1" applyFill="1" applyBorder="1" applyAlignment="1">
      <alignment horizontal="center" vertical="top" wrapText="1"/>
    </xf>
    <xf numFmtId="0" fontId="1" fillId="0" borderId="1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justify" vertical="top" wrapText="1"/>
    </xf>
    <xf numFmtId="44" fontId="2" fillId="0" borderId="2" xfId="1" applyFont="1" applyFill="1" applyBorder="1" applyAlignment="1">
      <alignment horizontal="right" vertical="top" wrapText="1"/>
    </xf>
    <xf numFmtId="44" fontId="2" fillId="0" borderId="3" xfId="1" applyFont="1" applyFill="1" applyBorder="1" applyAlignment="1">
      <alignment horizontal="right" vertical="top" wrapText="1"/>
    </xf>
    <xf numFmtId="44" fontId="2" fillId="0" borderId="5" xfId="1" applyFont="1" applyFill="1" applyBorder="1" applyAlignment="1">
      <alignment horizontal="right" vertical="top" wrapText="1"/>
    </xf>
    <xf numFmtId="44" fontId="1" fillId="0" borderId="5" xfId="1" applyFont="1" applyFill="1" applyBorder="1" applyAlignment="1">
      <alignment horizontal="right" vertical="top" wrapText="1"/>
    </xf>
    <xf numFmtId="171" fontId="1" fillId="0" borderId="7" xfId="1" applyNumberFormat="1" applyFont="1" applyFill="1" applyBorder="1" applyAlignment="1">
      <alignment horizontal="right" vertical="top" wrapText="1"/>
    </xf>
    <xf numFmtId="44" fontId="1" fillId="0" borderId="8" xfId="1" applyFont="1" applyFill="1" applyBorder="1" applyAlignment="1">
      <alignment horizontal="right" vertical="top" wrapText="1"/>
    </xf>
    <xf numFmtId="44" fontId="1" fillId="0" borderId="7" xfId="1" applyFont="1" applyFill="1" applyBorder="1" applyAlignment="1">
      <alignment horizontal="right" vertical="top" wrapText="1"/>
    </xf>
    <xf numFmtId="44" fontId="2" fillId="0" borderId="7" xfId="1" applyFont="1" applyFill="1" applyBorder="1" applyAlignment="1">
      <alignment horizontal="right" vertical="top" wrapText="1"/>
    </xf>
    <xf numFmtId="0" fontId="1" fillId="0" borderId="4" xfId="0" applyFont="1" applyFill="1" applyBorder="1" applyAlignment="1">
      <alignment horizontal="justify" vertical="top" wrapText="1"/>
    </xf>
    <xf numFmtId="0" fontId="1" fillId="0" borderId="4" xfId="0" applyFont="1" applyFill="1" applyBorder="1" applyAlignment="1">
      <alignment horizontal="center" vertical="top" wrapText="1"/>
    </xf>
    <xf numFmtId="0" fontId="1" fillId="0" borderId="6" xfId="0" applyFont="1" applyFill="1" applyBorder="1" applyAlignment="1">
      <alignment horizontal="justify" vertical="top" wrapText="1"/>
    </xf>
    <xf numFmtId="44" fontId="4" fillId="0" borderId="8" xfId="1" applyFont="1" applyFill="1" applyBorder="1" applyAlignment="1">
      <alignment horizontal="right" vertical="top" wrapText="1"/>
    </xf>
    <xf numFmtId="0" fontId="1" fillId="0" borderId="9" xfId="0" applyFont="1" applyFill="1" applyBorder="1" applyAlignment="1">
      <alignment horizontal="center" vertical="top" wrapText="1"/>
    </xf>
    <xf numFmtId="0" fontId="1" fillId="0" borderId="11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top" wrapText="1"/>
    </xf>
    <xf numFmtId="8" fontId="2" fillId="0" borderId="0" xfId="0" applyNumberFormat="1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/>
    </xf>
    <xf numFmtId="6" fontId="2" fillId="0" borderId="2" xfId="0" applyNumberFormat="1" applyFont="1" applyFill="1" applyBorder="1" applyAlignment="1">
      <alignment horizontal="center" vertical="top" wrapText="1"/>
    </xf>
    <xf numFmtId="8" fontId="2" fillId="0" borderId="3" xfId="0" applyNumberFormat="1" applyFont="1" applyFill="1" applyBorder="1" applyAlignment="1">
      <alignment horizontal="center" vertical="top" wrapText="1"/>
    </xf>
    <xf numFmtId="0" fontId="2" fillId="0" borderId="7" xfId="0" applyFont="1" applyFill="1" applyBorder="1" applyAlignment="1">
      <alignment horizontal="center" vertical="top" wrapText="1"/>
    </xf>
    <xf numFmtId="6" fontId="2" fillId="0" borderId="8" xfId="0" applyNumberFormat="1" applyFont="1" applyFill="1" applyBorder="1" applyAlignment="1">
      <alignment horizontal="center" vertical="top" wrapText="1"/>
    </xf>
    <xf numFmtId="172" fontId="1" fillId="0" borderId="7" xfId="1" applyNumberFormat="1" applyFont="1" applyFill="1" applyBorder="1" applyAlignment="1">
      <alignment horizontal="right" vertical="top" wrapText="1"/>
    </xf>
    <xf numFmtId="0" fontId="2" fillId="0" borderId="2" xfId="0" applyFont="1" applyFill="1" applyBorder="1" applyAlignment="1">
      <alignment horizontal="center" vertical="top" wrapText="1"/>
    </xf>
    <xf numFmtId="6" fontId="2" fillId="0" borderId="3" xfId="0" applyNumberFormat="1" applyFont="1" applyFill="1" applyBorder="1" applyAlignment="1">
      <alignment horizontal="center" vertical="top" wrapText="1"/>
    </xf>
    <xf numFmtId="8" fontId="2" fillId="0" borderId="5" xfId="0" applyNumberFormat="1" applyFont="1" applyFill="1" applyBorder="1" applyAlignment="1">
      <alignment horizontal="center" vertical="top" wrapText="1"/>
    </xf>
    <xf numFmtId="9" fontId="2" fillId="0" borderId="5" xfId="0" applyNumberFormat="1" applyFont="1" applyFill="1" applyBorder="1" applyAlignment="1">
      <alignment horizontal="center" vertical="top" wrapText="1"/>
    </xf>
    <xf numFmtId="6" fontId="2" fillId="0" borderId="7" xfId="0" applyNumberFormat="1" applyFont="1" applyFill="1" applyBorder="1" applyAlignment="1">
      <alignment horizontal="center" vertical="top" wrapText="1"/>
    </xf>
    <xf numFmtId="171" fontId="1" fillId="0" borderId="8" xfId="1" applyNumberFormat="1" applyFont="1" applyFill="1" applyBorder="1" applyAlignment="1">
      <alignment horizontal="right" vertical="top" wrapText="1"/>
    </xf>
    <xf numFmtId="44" fontId="1" fillId="0" borderId="10" xfId="1" applyFont="1" applyFill="1" applyBorder="1" applyAlignment="1">
      <alignment horizontal="center" vertical="top" wrapText="1"/>
    </xf>
    <xf numFmtId="44" fontId="1" fillId="0" borderId="11" xfId="1" applyFont="1" applyFill="1" applyBorder="1" applyAlignment="1">
      <alignment horizontal="center" vertical="top" wrapText="1"/>
    </xf>
    <xf numFmtId="3" fontId="2" fillId="2" borderId="0" xfId="0" applyNumberFormat="1" applyFont="1" applyFill="1" applyBorder="1" applyAlignment="1">
      <alignment horizontal="right" vertical="top" wrapText="1"/>
    </xf>
    <xf numFmtId="0" fontId="2" fillId="0" borderId="0" xfId="0" applyFont="1" applyFill="1" applyBorder="1" applyAlignment="1">
      <alignment horizontal="justify"/>
    </xf>
    <xf numFmtId="3" fontId="2" fillId="0" borderId="0" xfId="0" applyNumberFormat="1" applyFont="1" applyFill="1" applyBorder="1" applyAlignment="1">
      <alignment horizontal="right" vertical="top" wrapText="1"/>
    </xf>
    <xf numFmtId="0" fontId="2" fillId="0" borderId="0" xfId="0" applyFont="1" applyFill="1" applyBorder="1" applyAlignment="1">
      <alignment horizontal="right" vertical="top" wrapText="1"/>
    </xf>
    <xf numFmtId="0" fontId="1" fillId="0" borderId="0" xfId="0" applyFont="1" applyFill="1" applyBorder="1" applyAlignment="1">
      <alignment horizontal="justify"/>
    </xf>
    <xf numFmtId="0" fontId="2" fillId="2" borderId="0" xfId="0" applyFont="1" applyFill="1" applyBorder="1"/>
    <xf numFmtId="0" fontId="1" fillId="2" borderId="0" xfId="0" applyFont="1" applyFill="1" applyBorder="1" applyAlignment="1">
      <alignment horizontal="center" vertical="top" wrapText="1"/>
    </xf>
    <xf numFmtId="0" fontId="2" fillId="2" borderId="0" xfId="0" applyFont="1" applyFill="1" applyBorder="1" applyAlignment="1">
      <alignment horizontal="right"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horizontal="center" vertical="top" wrapText="1"/>
    </xf>
    <xf numFmtId="0" fontId="1" fillId="0" borderId="4" xfId="0" applyFont="1" applyFill="1" applyBorder="1" applyAlignment="1">
      <alignment horizontal="center" vertical="top" wrapText="1"/>
    </xf>
    <xf numFmtId="0" fontId="1" fillId="0" borderId="5" xfId="0" applyFont="1" applyFill="1" applyBorder="1" applyAlignment="1">
      <alignment horizontal="center" vertical="top" wrapText="1"/>
    </xf>
    <xf numFmtId="0" fontId="1" fillId="0" borderId="6" xfId="0" applyFont="1" applyFill="1" applyBorder="1" applyAlignment="1">
      <alignment horizontal="center" vertical="top" wrapText="1"/>
    </xf>
    <xf numFmtId="0" fontId="1" fillId="0" borderId="7" xfId="0" applyFont="1" applyFill="1" applyBorder="1" applyAlignment="1">
      <alignment horizontal="center" vertical="top" wrapText="1"/>
    </xf>
    <xf numFmtId="0" fontId="1" fillId="0" borderId="7" xfId="0" applyFont="1" applyFill="1" applyBorder="1" applyAlignment="1">
      <alignment horizontal="center" vertical="top" wrapText="1"/>
    </xf>
    <xf numFmtId="0" fontId="1" fillId="0" borderId="8" xfId="0" applyFont="1" applyFill="1" applyBorder="1" applyAlignment="1">
      <alignment horizontal="center" vertical="top" wrapText="1"/>
    </xf>
    <xf numFmtId="44" fontId="2" fillId="0" borderId="8" xfId="1" applyFont="1" applyFill="1" applyBorder="1" applyAlignment="1">
      <alignment horizontal="right" vertical="top" wrapText="1"/>
    </xf>
    <xf numFmtId="0" fontId="1" fillId="2" borderId="0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justify" vertical="top" wrapText="1"/>
    </xf>
    <xf numFmtId="0" fontId="2" fillId="0" borderId="1" xfId="0" applyFont="1" applyFill="1" applyBorder="1" applyAlignment="1">
      <alignment horizontal="justify" vertical="top" wrapText="1"/>
    </xf>
    <xf numFmtId="0" fontId="2" fillId="0" borderId="2" xfId="0" applyFont="1" applyFill="1" applyBorder="1" applyAlignment="1">
      <alignment horizontal="justify" vertical="top" wrapText="1"/>
    </xf>
    <xf numFmtId="0" fontId="2" fillId="0" borderId="4" xfId="0" applyFont="1" applyFill="1" applyBorder="1" applyAlignment="1">
      <alignment horizontal="justify" vertical="top" wrapText="1"/>
    </xf>
    <xf numFmtId="0" fontId="2" fillId="0" borderId="6" xfId="0" applyFont="1" applyFill="1" applyBorder="1" applyAlignment="1">
      <alignment horizontal="justify" vertical="top" wrapText="1"/>
    </xf>
    <xf numFmtId="0" fontId="2" fillId="0" borderId="7" xfId="0" applyFont="1" applyFill="1" applyBorder="1" applyAlignment="1">
      <alignment horizontal="justify" vertical="top" wrapText="1"/>
    </xf>
    <xf numFmtId="0" fontId="1" fillId="0" borderId="10" xfId="0" applyFont="1" applyFill="1" applyBorder="1" applyAlignment="1">
      <alignment horizontal="center" vertical="top" wrapText="1"/>
    </xf>
    <xf numFmtId="3" fontId="2" fillId="0" borderId="5" xfId="0" applyNumberFormat="1" applyFont="1" applyFill="1" applyBorder="1" applyAlignment="1">
      <alignment horizontal="right" vertical="top" wrapText="1"/>
    </xf>
    <xf numFmtId="3" fontId="1" fillId="0" borderId="7" xfId="0" applyNumberFormat="1" applyFont="1" applyFill="1" applyBorder="1" applyAlignment="1">
      <alignment horizontal="right" vertical="top" wrapText="1"/>
    </xf>
    <xf numFmtId="3" fontId="1" fillId="0" borderId="8" xfId="0" applyNumberFormat="1" applyFont="1" applyFill="1" applyBorder="1" applyAlignment="1">
      <alignment horizontal="right" vertical="top" wrapText="1"/>
    </xf>
    <xf numFmtId="0" fontId="2" fillId="0" borderId="6" xfId="0" applyFont="1" applyFill="1" applyBorder="1"/>
    <xf numFmtId="0" fontId="2" fillId="0" borderId="10" xfId="0" applyFont="1" applyFill="1" applyBorder="1" applyAlignment="1">
      <alignment horizontal="center" vertical="top" wrapText="1"/>
    </xf>
    <xf numFmtId="0" fontId="2" fillId="0" borderId="11" xfId="0" applyFont="1" applyFill="1" applyBorder="1" applyAlignment="1">
      <alignment horizontal="center" vertical="top" wrapText="1"/>
    </xf>
    <xf numFmtId="0" fontId="2" fillId="0" borderId="11" xfId="0" applyFont="1" applyFill="1" applyBorder="1" applyAlignment="1">
      <alignment horizontal="justify" vertical="top" wrapText="1"/>
    </xf>
    <xf numFmtId="0" fontId="1" fillId="0" borderId="1" xfId="0" applyFont="1" applyFill="1" applyBorder="1" applyAlignment="1">
      <alignment vertical="top" wrapText="1"/>
    </xf>
    <xf numFmtId="0" fontId="2" fillId="0" borderId="2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top" wrapText="1"/>
    </xf>
    <xf numFmtId="0" fontId="1" fillId="0" borderId="6" xfId="0" applyFont="1" applyFill="1" applyBorder="1" applyAlignment="1">
      <alignment vertical="top" wrapText="1"/>
    </xf>
    <xf numFmtId="0" fontId="2" fillId="0" borderId="7" xfId="0" applyFont="1" applyFill="1" applyBorder="1" applyAlignment="1">
      <alignment horizontal="center" vertical="top" wrapText="1"/>
    </xf>
    <xf numFmtId="0" fontId="2" fillId="0" borderId="8" xfId="0" applyFont="1" applyFill="1" applyBorder="1" applyAlignment="1">
      <alignment horizontal="center" vertical="top" wrapText="1"/>
    </xf>
    <xf numFmtId="44" fontId="2" fillId="0" borderId="7" xfId="1" applyFont="1" applyFill="1" applyBorder="1" applyAlignment="1">
      <alignment horizontal="center" vertical="top" wrapText="1"/>
    </xf>
    <xf numFmtId="44" fontId="2" fillId="0" borderId="8" xfId="1" applyFont="1" applyFill="1" applyBorder="1" applyAlignment="1">
      <alignment horizontal="center" vertical="top" wrapText="1"/>
    </xf>
    <xf numFmtId="0" fontId="2" fillId="0" borderId="4" xfId="0" applyFont="1" applyFill="1" applyBorder="1"/>
    <xf numFmtId="44" fontId="2" fillId="0" borderId="5" xfId="1" applyFont="1" applyFill="1" applyBorder="1"/>
    <xf numFmtId="0" fontId="1" fillId="0" borderId="4" xfId="0" applyFont="1" applyFill="1" applyBorder="1" applyAlignment="1">
      <alignment vertical="top" wrapText="1"/>
    </xf>
    <xf numFmtId="0" fontId="1" fillId="0" borderId="9" xfId="0" applyFont="1" applyFill="1" applyBorder="1" applyAlignment="1">
      <alignment vertical="top" wrapText="1"/>
    </xf>
    <xf numFmtId="0" fontId="4" fillId="0" borderId="11" xfId="0" applyFont="1" applyFill="1" applyBorder="1" applyAlignment="1">
      <alignment vertical="top" wrapText="1"/>
    </xf>
    <xf numFmtId="0" fontId="1" fillId="0" borderId="0" xfId="0" applyFont="1" applyFill="1" applyBorder="1" applyAlignment="1">
      <alignment horizontal="center" vertical="center" wrapText="1"/>
    </xf>
    <xf numFmtId="6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right" vertical="center" wrapText="1"/>
    </xf>
    <xf numFmtId="8" fontId="2" fillId="0" borderId="0" xfId="0" applyNumberFormat="1" applyFont="1" applyFill="1" applyBorder="1" applyAlignment="1">
      <alignment horizontal="right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justify" vertical="center" wrapText="1"/>
    </xf>
    <xf numFmtId="0" fontId="2" fillId="0" borderId="5" xfId="0" applyFont="1" applyFill="1" applyBorder="1" applyAlignment="1">
      <alignment horizontal="right" vertical="center" wrapText="1"/>
    </xf>
    <xf numFmtId="0" fontId="2" fillId="0" borderId="6" xfId="0" applyFont="1" applyFill="1" applyBorder="1" applyAlignment="1">
      <alignment horizontal="justify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justify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justify" vertical="center" wrapText="1"/>
    </xf>
    <xf numFmtId="6" fontId="2" fillId="0" borderId="2" xfId="0" applyNumberFormat="1" applyFont="1" applyFill="1" applyBorder="1" applyAlignment="1">
      <alignment horizontal="center" vertical="center" wrapText="1"/>
    </xf>
    <xf numFmtId="6" fontId="2" fillId="0" borderId="3" xfId="0" applyNumberFormat="1" applyFont="1" applyFill="1" applyBorder="1" applyAlignment="1">
      <alignment horizontal="center" vertical="center" wrapText="1"/>
    </xf>
    <xf numFmtId="6" fontId="2" fillId="0" borderId="5" xfId="0" applyNumberFormat="1" applyFont="1" applyFill="1" applyBorder="1" applyAlignment="1">
      <alignment horizontal="center" vertical="center" wrapText="1"/>
    </xf>
    <xf numFmtId="8" fontId="2" fillId="0" borderId="5" xfId="0" applyNumberFormat="1" applyFont="1" applyFill="1" applyBorder="1" applyAlignment="1">
      <alignment horizontal="right" vertical="center" wrapText="1"/>
    </xf>
    <xf numFmtId="8" fontId="2" fillId="0" borderId="7" xfId="0" applyNumberFormat="1" applyFont="1" applyFill="1" applyBorder="1" applyAlignment="1">
      <alignment horizontal="right" vertical="center" wrapText="1"/>
    </xf>
    <xf numFmtId="8" fontId="2" fillId="0" borderId="8" xfId="0" applyNumberFormat="1" applyFont="1" applyFill="1" applyBorder="1" applyAlignment="1">
      <alignment horizontal="right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8" fontId="2" fillId="0" borderId="5" xfId="0" applyNumberFormat="1" applyFont="1" applyFill="1" applyBorder="1" applyAlignment="1">
      <alignment horizontal="center" vertical="center" wrapText="1"/>
    </xf>
    <xf numFmtId="8" fontId="2" fillId="0" borderId="8" xfId="0" applyNumberFormat="1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justify" vertical="center" wrapText="1"/>
    </xf>
    <xf numFmtId="0" fontId="2" fillId="0" borderId="5" xfId="0" applyFont="1" applyFill="1" applyBorder="1" applyAlignment="1">
      <alignment horizontal="justify" vertical="center" wrapText="1"/>
    </xf>
    <xf numFmtId="8" fontId="2" fillId="0" borderId="11" xfId="0" applyNumberFormat="1" applyFont="1" applyFill="1" applyBorder="1" applyAlignment="1">
      <alignment horizontal="center" vertical="center" wrapText="1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188"/>
  <sheetViews>
    <sheetView tabSelected="1" zoomScaleNormal="100" workbookViewId="0"/>
  </sheetViews>
  <sheetFormatPr defaultRowHeight="15.75" customHeight="1" x14ac:dyDescent="0.2"/>
  <cols>
    <col min="1" max="1" width="31.5703125" style="5" bestFit="1" customWidth="1"/>
    <col min="2" max="2" width="9.28515625" style="5" bestFit="1" customWidth="1"/>
    <col min="3" max="3" width="9.140625" style="3"/>
    <col min="4" max="4" width="41.85546875" style="5" bestFit="1" customWidth="1"/>
    <col min="5" max="5" width="9.5703125" style="5" bestFit="1" customWidth="1"/>
    <col min="6" max="6" width="9.140625" style="3"/>
    <col min="7" max="7" width="41.7109375" style="5" bestFit="1" customWidth="1"/>
    <col min="8" max="8" width="9.5703125" style="5" bestFit="1" customWidth="1"/>
    <col min="9" max="9" width="10.140625" style="5" bestFit="1" customWidth="1"/>
    <col min="10" max="10" width="9.140625" style="3"/>
    <col min="11" max="11" width="41.85546875" style="1" bestFit="1" customWidth="1"/>
    <col min="12" max="12" width="10.28515625" style="1" bestFit="1" customWidth="1"/>
    <col min="13" max="13" width="10.140625" style="1" bestFit="1" customWidth="1"/>
    <col min="14" max="14" width="9.140625" style="3"/>
    <col min="15" max="15" width="41.42578125" style="1" bestFit="1" customWidth="1"/>
    <col min="16" max="16" width="11.140625" style="1" bestFit="1" customWidth="1"/>
    <col min="17" max="17" width="9.140625" style="1"/>
    <col min="18" max="18" width="9.140625" style="3"/>
    <col min="19" max="19" width="42.5703125" style="1" bestFit="1" customWidth="1"/>
    <col min="20" max="20" width="11.28515625" style="1" bestFit="1" customWidth="1"/>
    <col min="21" max="21" width="11.140625" style="1" bestFit="1" customWidth="1"/>
    <col min="22" max="22" width="9.140625" style="3"/>
    <col min="23" max="23" width="42.5703125" style="5" bestFit="1" customWidth="1"/>
    <col min="24" max="25" width="11.42578125" style="5" bestFit="1" customWidth="1"/>
    <col min="26" max="26" width="9.28515625" style="69" bestFit="1" customWidth="1"/>
    <col min="27" max="27" width="42.5703125" style="5" bestFit="1" customWidth="1"/>
    <col min="28" max="28" width="11.28515625" style="5" bestFit="1" customWidth="1"/>
    <col min="29" max="30" width="11.140625" style="5" bestFit="1" customWidth="1"/>
    <col min="31" max="31" width="9.140625" style="5"/>
    <col min="32" max="32" width="9.28515625" style="3" bestFit="1" customWidth="1"/>
    <col min="33" max="33" width="41.85546875" style="5" bestFit="1" customWidth="1"/>
    <col min="34" max="35" width="11.28515625" style="5" bestFit="1" customWidth="1"/>
    <col min="36" max="36" width="11.140625" style="5" bestFit="1" customWidth="1"/>
    <col min="37" max="37" width="11.140625" style="5" customWidth="1"/>
    <col min="38" max="38" width="9.140625" style="3"/>
    <col min="39" max="39" width="59.28515625" style="5" customWidth="1"/>
    <col min="40" max="40" width="21.140625" style="5" bestFit="1" customWidth="1"/>
    <col min="41" max="41" width="12.140625" style="5" bestFit="1" customWidth="1"/>
    <col min="42" max="42" width="9.140625" style="3"/>
    <col min="43" max="43" width="59" style="5" customWidth="1"/>
    <col min="44" max="44" width="21" style="5" bestFit="1" customWidth="1"/>
    <col min="45" max="45" width="12.140625" style="5" bestFit="1" customWidth="1"/>
    <col min="46" max="46" width="9.140625" style="3"/>
    <col min="47" max="47" width="56.85546875" style="5" customWidth="1"/>
    <col min="48" max="48" width="20.85546875" style="5" bestFit="1" customWidth="1"/>
    <col min="49" max="49" width="12.140625" style="5" bestFit="1" customWidth="1"/>
    <col min="50" max="16384" width="9.140625" style="1"/>
  </cols>
  <sheetData>
    <row r="1" spans="1:49" ht="15.75" customHeight="1" x14ac:dyDescent="0.2">
      <c r="A1" s="5" t="s">
        <v>369</v>
      </c>
      <c r="D1" s="5" t="s">
        <v>369</v>
      </c>
      <c r="G1" s="5" t="s">
        <v>370</v>
      </c>
      <c r="K1" s="1" t="s">
        <v>371</v>
      </c>
      <c r="O1" s="1" t="s">
        <v>372</v>
      </c>
      <c r="P1" s="2">
        <v>0.23</v>
      </c>
      <c r="S1" s="5" t="s">
        <v>1</v>
      </c>
      <c r="T1" s="6">
        <v>0.23</v>
      </c>
      <c r="U1" s="5"/>
      <c r="W1" s="5" t="s">
        <v>3</v>
      </c>
      <c r="X1" s="6">
        <v>0.23</v>
      </c>
      <c r="AA1" s="5" t="s">
        <v>4</v>
      </c>
      <c r="AB1" s="6">
        <v>0.23</v>
      </c>
      <c r="AG1" s="5" t="s">
        <v>5</v>
      </c>
      <c r="AH1" s="6">
        <v>0.23</v>
      </c>
      <c r="AM1" s="5" t="s">
        <v>7</v>
      </c>
      <c r="AN1" s="6">
        <v>0.23</v>
      </c>
      <c r="AO1" s="6">
        <v>0.23</v>
      </c>
      <c r="AQ1" s="5" t="s">
        <v>9</v>
      </c>
      <c r="AR1" s="6">
        <v>0.23</v>
      </c>
      <c r="AS1" s="6">
        <v>0.23</v>
      </c>
      <c r="AU1" s="5" t="s">
        <v>10</v>
      </c>
      <c r="AV1" s="6">
        <v>0.23</v>
      </c>
      <c r="AW1" s="6">
        <v>0.23</v>
      </c>
    </row>
    <row r="2" spans="1:49" ht="15.75" customHeight="1" x14ac:dyDescent="0.2">
      <c r="S2" s="30" t="s">
        <v>0</v>
      </c>
      <c r="T2" s="93" t="s">
        <v>1</v>
      </c>
      <c r="U2" s="94" t="s">
        <v>2</v>
      </c>
      <c r="W2" s="30" t="s">
        <v>0</v>
      </c>
      <c r="X2" s="93" t="s">
        <v>3</v>
      </c>
      <c r="Y2" s="94" t="s">
        <v>2</v>
      </c>
      <c r="AA2" s="30" t="s">
        <v>0</v>
      </c>
      <c r="AB2" s="93" t="s">
        <v>4</v>
      </c>
      <c r="AC2" s="94" t="s">
        <v>2</v>
      </c>
      <c r="AG2" s="30" t="s">
        <v>0</v>
      </c>
      <c r="AH2" s="31" t="s">
        <v>5</v>
      </c>
      <c r="AI2" s="32" t="s">
        <v>2</v>
      </c>
      <c r="AM2" s="30" t="s">
        <v>6</v>
      </c>
      <c r="AN2" s="31" t="s">
        <v>7</v>
      </c>
      <c r="AO2" s="32" t="s">
        <v>8</v>
      </c>
      <c r="AQ2" s="30" t="s">
        <v>6</v>
      </c>
      <c r="AR2" s="31" t="s">
        <v>9</v>
      </c>
      <c r="AS2" s="32" t="s">
        <v>2</v>
      </c>
      <c r="AU2" s="30" t="s">
        <v>6</v>
      </c>
      <c r="AV2" s="31" t="s">
        <v>10</v>
      </c>
      <c r="AW2" s="32" t="s">
        <v>2</v>
      </c>
    </row>
    <row r="3" spans="1:49" ht="15.75" customHeight="1" x14ac:dyDescent="0.2">
      <c r="A3" s="132" t="s">
        <v>6</v>
      </c>
      <c r="B3" s="133"/>
      <c r="D3" s="119" t="s">
        <v>0</v>
      </c>
      <c r="E3" s="120"/>
      <c r="G3" s="119" t="s">
        <v>6</v>
      </c>
      <c r="H3" s="122" t="s">
        <v>370</v>
      </c>
      <c r="I3" s="120" t="s">
        <v>2</v>
      </c>
      <c r="K3" s="119" t="s">
        <v>0</v>
      </c>
      <c r="L3" s="122" t="s">
        <v>371</v>
      </c>
      <c r="M3" s="120" t="s">
        <v>2</v>
      </c>
      <c r="O3" s="30" t="s">
        <v>35</v>
      </c>
      <c r="P3" s="94" t="s">
        <v>2</v>
      </c>
      <c r="S3" s="33" t="s">
        <v>11</v>
      </c>
      <c r="T3" s="51">
        <v>250</v>
      </c>
      <c r="U3" s="57">
        <v>250</v>
      </c>
      <c r="W3" s="21" t="s">
        <v>11</v>
      </c>
      <c r="X3" s="10">
        <v>250</v>
      </c>
      <c r="Y3" s="24">
        <v>250</v>
      </c>
      <c r="AA3" s="21" t="s">
        <v>11</v>
      </c>
      <c r="AB3" s="10">
        <v>250</v>
      </c>
      <c r="AC3" s="24">
        <v>250</v>
      </c>
      <c r="AG3" s="21" t="s">
        <v>11</v>
      </c>
      <c r="AH3" s="10">
        <v>250</v>
      </c>
      <c r="AI3" s="24">
        <v>250</v>
      </c>
      <c r="AM3" s="33" t="s">
        <v>12</v>
      </c>
      <c r="AN3" s="56" t="s">
        <v>13</v>
      </c>
      <c r="AO3" s="57">
        <v>250</v>
      </c>
      <c r="AQ3" s="33" t="s">
        <v>12</v>
      </c>
      <c r="AR3" s="51">
        <v>260</v>
      </c>
      <c r="AS3" s="52">
        <v>257.5</v>
      </c>
      <c r="AU3" s="21" t="s">
        <v>12</v>
      </c>
      <c r="AV3" s="7">
        <v>260</v>
      </c>
      <c r="AW3" s="22"/>
    </row>
    <row r="4" spans="1:49" ht="15.75" customHeight="1" x14ac:dyDescent="0.2">
      <c r="A4" s="136" t="s">
        <v>368</v>
      </c>
      <c r="B4" s="138">
        <v>5000</v>
      </c>
      <c r="D4" s="116" t="s">
        <v>437</v>
      </c>
      <c r="E4" s="128">
        <v>250</v>
      </c>
      <c r="G4" s="125" t="s">
        <v>437</v>
      </c>
      <c r="H4" s="126">
        <v>250</v>
      </c>
      <c r="I4" s="127">
        <v>250</v>
      </c>
      <c r="K4" s="116" t="s">
        <v>11</v>
      </c>
      <c r="L4" s="110">
        <v>250</v>
      </c>
      <c r="M4" s="115"/>
      <c r="O4" s="21" t="s">
        <v>37</v>
      </c>
      <c r="P4" s="36">
        <v>28000</v>
      </c>
      <c r="S4" s="21" t="s">
        <v>14</v>
      </c>
      <c r="T4" s="10">
        <v>350</v>
      </c>
      <c r="U4" s="24">
        <v>350</v>
      </c>
      <c r="W4" s="21" t="s">
        <v>14</v>
      </c>
      <c r="X4" s="10">
        <v>350</v>
      </c>
      <c r="Y4" s="24">
        <v>350</v>
      </c>
      <c r="AA4" s="21" t="s">
        <v>14</v>
      </c>
      <c r="AB4" s="10">
        <v>350</v>
      </c>
      <c r="AC4" s="24">
        <v>350</v>
      </c>
      <c r="AG4" s="21" t="s">
        <v>14</v>
      </c>
      <c r="AH4" s="10">
        <v>350</v>
      </c>
      <c r="AI4" s="24">
        <v>350</v>
      </c>
      <c r="AM4" s="21" t="s">
        <v>15</v>
      </c>
      <c r="AN4" s="9" t="s">
        <v>13</v>
      </c>
      <c r="AO4" s="23">
        <v>30</v>
      </c>
      <c r="AQ4" s="21" t="s">
        <v>15</v>
      </c>
      <c r="AR4" s="9" t="s">
        <v>13</v>
      </c>
      <c r="AS4" s="23">
        <v>30</v>
      </c>
      <c r="AU4" s="21" t="s">
        <v>15</v>
      </c>
      <c r="AV4" s="9" t="s">
        <v>13</v>
      </c>
      <c r="AW4" s="23">
        <v>30</v>
      </c>
    </row>
    <row r="5" spans="1:49" ht="15.75" customHeight="1" x14ac:dyDescent="0.2">
      <c r="D5" s="116" t="s">
        <v>422</v>
      </c>
      <c r="E5" s="128">
        <v>350</v>
      </c>
      <c r="G5" s="116" t="s">
        <v>422</v>
      </c>
      <c r="H5" s="110">
        <v>350</v>
      </c>
      <c r="I5" s="128">
        <v>350</v>
      </c>
      <c r="K5" s="116" t="s">
        <v>422</v>
      </c>
      <c r="L5" s="110">
        <v>350</v>
      </c>
      <c r="M5" s="115"/>
      <c r="O5" s="21" t="s">
        <v>39</v>
      </c>
      <c r="P5" s="36">
        <v>20000</v>
      </c>
      <c r="S5" s="21" t="s">
        <v>16</v>
      </c>
      <c r="T5" s="9" t="s">
        <v>17</v>
      </c>
      <c r="U5" s="23">
        <v>30</v>
      </c>
      <c r="W5" s="21" t="s">
        <v>16</v>
      </c>
      <c r="X5" s="9" t="s">
        <v>17</v>
      </c>
      <c r="Y5" s="23">
        <v>30</v>
      </c>
      <c r="AA5" s="21" t="s">
        <v>16</v>
      </c>
      <c r="AB5" s="9" t="s">
        <v>13</v>
      </c>
      <c r="AC5" s="23">
        <v>30</v>
      </c>
      <c r="AG5" s="21" t="s">
        <v>16</v>
      </c>
      <c r="AH5" s="9" t="s">
        <v>13</v>
      </c>
      <c r="AI5" s="23">
        <v>30</v>
      </c>
      <c r="AM5" s="21" t="s">
        <v>18</v>
      </c>
      <c r="AN5" s="9" t="s">
        <v>13</v>
      </c>
      <c r="AO5" s="23">
        <v>240</v>
      </c>
      <c r="AQ5" s="21" t="s">
        <v>18</v>
      </c>
      <c r="AR5" s="9" t="s">
        <v>13</v>
      </c>
      <c r="AS5" s="23">
        <v>240</v>
      </c>
      <c r="AU5" s="21" t="s">
        <v>18</v>
      </c>
      <c r="AV5" s="9" t="s">
        <v>13</v>
      </c>
      <c r="AW5" s="23">
        <v>240</v>
      </c>
    </row>
    <row r="6" spans="1:49" ht="15.75" customHeight="1" x14ac:dyDescent="0.2">
      <c r="A6" s="119" t="s">
        <v>53</v>
      </c>
      <c r="B6" s="120"/>
      <c r="D6" s="116" t="s">
        <v>438</v>
      </c>
      <c r="E6" s="115">
        <v>10</v>
      </c>
      <c r="G6" s="116" t="s">
        <v>438</v>
      </c>
      <c r="H6" s="111">
        <v>20</v>
      </c>
      <c r="I6" s="115">
        <v>30</v>
      </c>
      <c r="K6" s="116" t="s">
        <v>16</v>
      </c>
      <c r="L6" s="111" t="s">
        <v>17</v>
      </c>
      <c r="M6" s="115">
        <v>30</v>
      </c>
      <c r="O6" s="27" t="s">
        <v>42</v>
      </c>
      <c r="P6" s="80">
        <v>8000</v>
      </c>
      <c r="S6" s="21" t="s">
        <v>19</v>
      </c>
      <c r="T6" s="9">
        <v>40</v>
      </c>
      <c r="U6" s="23">
        <v>90</v>
      </c>
      <c r="W6" s="21" t="s">
        <v>19</v>
      </c>
      <c r="X6" s="9">
        <v>50</v>
      </c>
      <c r="Y6" s="23">
        <v>240</v>
      </c>
      <c r="AA6" s="21" t="s">
        <v>20</v>
      </c>
      <c r="AB6" s="9" t="s">
        <v>13</v>
      </c>
      <c r="AC6" s="23">
        <v>240</v>
      </c>
      <c r="AG6" s="21" t="s">
        <v>19</v>
      </c>
      <c r="AH6" s="9" t="s">
        <v>13</v>
      </c>
      <c r="AI6" s="23">
        <v>240</v>
      </c>
      <c r="AM6" s="21" t="s">
        <v>21</v>
      </c>
      <c r="AN6" s="9">
        <v>50</v>
      </c>
      <c r="AO6" s="23">
        <v>50</v>
      </c>
      <c r="AQ6" s="21" t="s">
        <v>21</v>
      </c>
      <c r="AR6" s="9">
        <v>100</v>
      </c>
      <c r="AS6" s="23">
        <v>150</v>
      </c>
      <c r="AU6" s="21" t="s">
        <v>21</v>
      </c>
      <c r="AV6" s="9">
        <v>100</v>
      </c>
      <c r="AW6" s="23">
        <v>150</v>
      </c>
    </row>
    <row r="7" spans="1:49" ht="15.75" customHeight="1" x14ac:dyDescent="0.2">
      <c r="A7" s="116" t="s">
        <v>449</v>
      </c>
      <c r="B7" s="134">
        <v>0</v>
      </c>
      <c r="D7" s="118" t="s">
        <v>442</v>
      </c>
      <c r="E7" s="124">
        <v>10</v>
      </c>
      <c r="G7" s="116" t="s">
        <v>22</v>
      </c>
      <c r="H7" s="111">
        <v>15</v>
      </c>
      <c r="I7" s="115">
        <v>25</v>
      </c>
      <c r="K7" s="116" t="s">
        <v>19</v>
      </c>
      <c r="L7" s="111">
        <v>50</v>
      </c>
      <c r="M7" s="115">
        <v>50</v>
      </c>
      <c r="O7" s="5"/>
      <c r="P7" s="5"/>
      <c r="S7" s="21" t="s">
        <v>22</v>
      </c>
      <c r="T7" s="9">
        <v>15</v>
      </c>
      <c r="U7" s="23">
        <v>70</v>
      </c>
      <c r="W7" s="21" t="s">
        <v>22</v>
      </c>
      <c r="X7" s="9">
        <v>20</v>
      </c>
      <c r="Y7" s="23">
        <v>90</v>
      </c>
      <c r="AA7" s="21" t="s">
        <v>22</v>
      </c>
      <c r="AB7" s="9">
        <v>10</v>
      </c>
      <c r="AC7" s="23">
        <v>100</v>
      </c>
      <c r="AG7" s="21" t="s">
        <v>22</v>
      </c>
      <c r="AH7" s="9">
        <v>0</v>
      </c>
      <c r="AI7" s="23">
        <v>100</v>
      </c>
      <c r="AM7" s="21" t="s">
        <v>23</v>
      </c>
      <c r="AN7" s="9" t="s">
        <v>13</v>
      </c>
      <c r="AO7" s="24">
        <v>350</v>
      </c>
      <c r="AQ7" s="21" t="s">
        <v>24</v>
      </c>
      <c r="AR7" s="9">
        <v>50</v>
      </c>
      <c r="AS7" s="23">
        <v>50</v>
      </c>
      <c r="AU7" s="21" t="s">
        <v>24</v>
      </c>
      <c r="AV7" s="9">
        <v>50</v>
      </c>
      <c r="AW7" s="23">
        <v>50</v>
      </c>
    </row>
    <row r="8" spans="1:49" ht="15.75" customHeight="1" x14ac:dyDescent="0.2">
      <c r="A8" s="121" t="s">
        <v>64</v>
      </c>
      <c r="B8" s="137"/>
      <c r="G8" s="118" t="s">
        <v>439</v>
      </c>
      <c r="H8" s="123">
        <v>5</v>
      </c>
      <c r="I8" s="124">
        <v>5</v>
      </c>
      <c r="K8" s="116" t="s">
        <v>22</v>
      </c>
      <c r="L8" s="111">
        <v>30</v>
      </c>
      <c r="M8" s="115">
        <v>55</v>
      </c>
      <c r="O8" s="5"/>
      <c r="P8" s="5"/>
      <c r="S8" s="21" t="s">
        <v>25</v>
      </c>
      <c r="T8" s="9">
        <v>25</v>
      </c>
      <c r="U8" s="23">
        <v>50</v>
      </c>
      <c r="W8" s="21" t="s">
        <v>25</v>
      </c>
      <c r="X8" s="9">
        <v>30</v>
      </c>
      <c r="Y8" s="23">
        <v>80</v>
      </c>
      <c r="AA8" s="21" t="s">
        <v>25</v>
      </c>
      <c r="AB8" s="9">
        <v>40</v>
      </c>
      <c r="AC8" s="23">
        <v>120</v>
      </c>
      <c r="AG8" s="21" t="s">
        <v>25</v>
      </c>
      <c r="AH8" s="9">
        <v>30</v>
      </c>
      <c r="AI8" s="23">
        <v>150</v>
      </c>
      <c r="AM8" s="21" t="s">
        <v>26</v>
      </c>
      <c r="AN8" s="9" t="s">
        <v>13</v>
      </c>
      <c r="AO8" s="23">
        <v>100</v>
      </c>
      <c r="AQ8" s="21" t="s">
        <v>23</v>
      </c>
      <c r="AR8" s="9" t="s">
        <v>13</v>
      </c>
      <c r="AS8" s="24">
        <v>350</v>
      </c>
      <c r="AU8" s="21" t="s">
        <v>23</v>
      </c>
      <c r="AV8" s="9" t="s">
        <v>13</v>
      </c>
      <c r="AW8" s="24">
        <v>350</v>
      </c>
    </row>
    <row r="9" spans="1:49" ht="15.75" customHeight="1" x14ac:dyDescent="0.2">
      <c r="A9" s="116" t="s">
        <v>450</v>
      </c>
      <c r="B9" s="134">
        <v>5000</v>
      </c>
      <c r="D9" s="119" t="s">
        <v>35</v>
      </c>
      <c r="E9" s="120" t="s">
        <v>369</v>
      </c>
      <c r="K9" s="118" t="s">
        <v>25</v>
      </c>
      <c r="L9" s="123">
        <v>20</v>
      </c>
      <c r="M9" s="124">
        <v>25</v>
      </c>
      <c r="O9" s="30" t="s">
        <v>51</v>
      </c>
      <c r="P9" s="94" t="s">
        <v>2</v>
      </c>
      <c r="S9" s="27" t="s">
        <v>27</v>
      </c>
      <c r="T9" s="60">
        <v>500</v>
      </c>
      <c r="U9" s="29" t="s">
        <v>419</v>
      </c>
      <c r="W9" s="27" t="s">
        <v>28</v>
      </c>
      <c r="X9" s="53">
        <v>100</v>
      </c>
      <c r="Y9" s="29">
        <v>100</v>
      </c>
      <c r="AA9" s="27" t="s">
        <v>28</v>
      </c>
      <c r="AB9" s="53">
        <v>50</v>
      </c>
      <c r="AC9" s="29">
        <v>50</v>
      </c>
      <c r="AG9" s="21" t="s">
        <v>29</v>
      </c>
      <c r="AH9" s="9">
        <v>0</v>
      </c>
      <c r="AI9" s="23">
        <v>0</v>
      </c>
      <c r="AM9" s="21" t="s">
        <v>30</v>
      </c>
      <c r="AN9" s="9" t="s">
        <v>13</v>
      </c>
      <c r="AO9" s="23">
        <v>150</v>
      </c>
      <c r="AQ9" s="21" t="s">
        <v>26</v>
      </c>
      <c r="AR9" s="9" t="s">
        <v>13</v>
      </c>
      <c r="AS9" s="23">
        <v>100</v>
      </c>
      <c r="AU9" s="21" t="s">
        <v>26</v>
      </c>
      <c r="AV9" s="9" t="s">
        <v>13</v>
      </c>
      <c r="AW9" s="23">
        <v>100</v>
      </c>
    </row>
    <row r="10" spans="1:49" ht="15.75" customHeight="1" x14ac:dyDescent="0.2">
      <c r="A10" s="118" t="s">
        <v>451</v>
      </c>
      <c r="B10" s="135">
        <v>5000</v>
      </c>
      <c r="D10" s="116" t="s">
        <v>423</v>
      </c>
      <c r="E10" s="134">
        <v>3500</v>
      </c>
      <c r="G10" s="119" t="s">
        <v>35</v>
      </c>
      <c r="H10" s="122" t="s">
        <v>370</v>
      </c>
      <c r="I10" s="120" t="s">
        <v>2</v>
      </c>
      <c r="K10" s="5"/>
      <c r="L10" s="5"/>
      <c r="M10" s="5"/>
      <c r="O10" s="33" t="s">
        <v>52</v>
      </c>
      <c r="P10" s="35">
        <f>P4*P1</f>
        <v>6440</v>
      </c>
      <c r="S10" s="5" t="s">
        <v>31</v>
      </c>
      <c r="T10" s="5"/>
      <c r="U10" s="5"/>
      <c r="AG10" s="27" t="s">
        <v>32</v>
      </c>
      <c r="AH10" s="53">
        <v>20</v>
      </c>
      <c r="AI10" s="29">
        <v>20</v>
      </c>
      <c r="AM10" s="21" t="s">
        <v>33</v>
      </c>
      <c r="AN10" s="11">
        <v>2000</v>
      </c>
      <c r="AO10" s="25">
        <v>2000</v>
      </c>
      <c r="AQ10" s="21" t="s">
        <v>30</v>
      </c>
      <c r="AR10" s="9" t="s">
        <v>13</v>
      </c>
      <c r="AS10" s="23">
        <v>150</v>
      </c>
      <c r="AU10" s="21" t="s">
        <v>30</v>
      </c>
      <c r="AV10" s="9" t="s">
        <v>13</v>
      </c>
      <c r="AW10" s="23">
        <v>150</v>
      </c>
    </row>
    <row r="11" spans="1:49" ht="15.75" customHeight="1" x14ac:dyDescent="0.2">
      <c r="D11" s="116" t="s">
        <v>424</v>
      </c>
      <c r="E11" s="134">
        <v>2500</v>
      </c>
      <c r="G11" s="116" t="s">
        <v>423</v>
      </c>
      <c r="H11" s="113">
        <v>7000</v>
      </c>
      <c r="I11" s="129">
        <v>10500</v>
      </c>
      <c r="K11" s="119" t="s">
        <v>35</v>
      </c>
      <c r="L11" s="122" t="s">
        <v>371</v>
      </c>
      <c r="M11" s="120" t="s">
        <v>2</v>
      </c>
      <c r="O11" s="21" t="s">
        <v>56</v>
      </c>
      <c r="P11" s="36">
        <f>P5*P1</f>
        <v>4600</v>
      </c>
      <c r="S11" s="5"/>
      <c r="T11" s="5"/>
      <c r="U11" s="5"/>
      <c r="AM11" s="21" t="s">
        <v>34</v>
      </c>
      <c r="AN11" s="10">
        <v>15</v>
      </c>
      <c r="AO11" s="24">
        <v>15</v>
      </c>
      <c r="AQ11" s="21" t="s">
        <v>33</v>
      </c>
      <c r="AR11" s="11">
        <v>4000</v>
      </c>
      <c r="AS11" s="25">
        <v>6000</v>
      </c>
      <c r="AU11" s="21" t="s">
        <v>33</v>
      </c>
      <c r="AV11" s="11">
        <v>4000</v>
      </c>
      <c r="AW11" s="25">
        <v>10000</v>
      </c>
    </row>
    <row r="12" spans="1:49" ht="15.75" customHeight="1" x14ac:dyDescent="0.2">
      <c r="A12" s="119" t="s">
        <v>97</v>
      </c>
      <c r="B12" s="120"/>
      <c r="D12" s="118" t="s">
        <v>425</v>
      </c>
      <c r="E12" s="135">
        <v>1000</v>
      </c>
      <c r="G12" s="116" t="s">
        <v>424</v>
      </c>
      <c r="H12" s="113">
        <v>5000</v>
      </c>
      <c r="I12" s="129">
        <v>7500</v>
      </c>
      <c r="K12" s="116" t="s">
        <v>423</v>
      </c>
      <c r="L12" s="113">
        <v>17500</v>
      </c>
      <c r="M12" s="129">
        <v>28000</v>
      </c>
      <c r="O12" s="21" t="s">
        <v>59</v>
      </c>
      <c r="P12" s="36">
        <f>P10-P11</f>
        <v>1840</v>
      </c>
      <c r="S12" s="30" t="s">
        <v>35</v>
      </c>
      <c r="T12" s="93" t="s">
        <v>1</v>
      </c>
      <c r="U12" s="108" t="s">
        <v>2</v>
      </c>
      <c r="W12" s="5" t="s">
        <v>31</v>
      </c>
      <c r="AA12" s="5" t="s">
        <v>31</v>
      </c>
      <c r="AM12" s="21" t="s">
        <v>36</v>
      </c>
      <c r="AN12" s="11">
        <v>1000</v>
      </c>
      <c r="AO12" s="25">
        <v>1000</v>
      </c>
      <c r="AQ12" s="21" t="s">
        <v>34</v>
      </c>
      <c r="AR12" s="10">
        <v>15</v>
      </c>
      <c r="AS12" s="24">
        <v>15</v>
      </c>
      <c r="AU12" s="21" t="s">
        <v>34</v>
      </c>
      <c r="AV12" s="10">
        <v>16</v>
      </c>
      <c r="AW12" s="23"/>
    </row>
    <row r="13" spans="1:49" ht="15.75" customHeight="1" x14ac:dyDescent="0.2">
      <c r="A13" s="114" t="s">
        <v>90</v>
      </c>
      <c r="B13" s="115"/>
      <c r="G13" s="118" t="s">
        <v>425</v>
      </c>
      <c r="H13" s="130">
        <v>2000</v>
      </c>
      <c r="I13" s="131">
        <v>3000</v>
      </c>
      <c r="K13" s="116" t="s">
        <v>424</v>
      </c>
      <c r="L13" s="113">
        <v>12500</v>
      </c>
      <c r="M13" s="129">
        <v>20000</v>
      </c>
      <c r="O13" s="27" t="s">
        <v>63</v>
      </c>
      <c r="P13" s="80">
        <f>P12</f>
        <v>1840</v>
      </c>
      <c r="S13" s="21" t="s">
        <v>37</v>
      </c>
      <c r="T13" s="14">
        <v>14000</v>
      </c>
      <c r="U13" s="36">
        <v>42000</v>
      </c>
      <c r="AG13" s="65" t="s">
        <v>31</v>
      </c>
      <c r="AM13" s="21" t="s">
        <v>38</v>
      </c>
      <c r="AN13" s="9">
        <v>500</v>
      </c>
      <c r="AO13" s="23">
        <v>500</v>
      </c>
      <c r="AQ13" s="21" t="s">
        <v>36</v>
      </c>
      <c r="AR13" s="11">
        <v>2000</v>
      </c>
      <c r="AS13" s="25">
        <v>3000</v>
      </c>
      <c r="AU13" s="21" t="s">
        <v>36</v>
      </c>
      <c r="AV13" s="11">
        <v>1000</v>
      </c>
      <c r="AW13" s="25">
        <v>4000</v>
      </c>
    </row>
    <row r="14" spans="1:49" ht="15.75" customHeight="1" x14ac:dyDescent="0.2">
      <c r="A14" s="116" t="s">
        <v>452</v>
      </c>
      <c r="B14" s="134">
        <v>5000</v>
      </c>
      <c r="D14" s="119" t="s">
        <v>53</v>
      </c>
      <c r="E14" s="120" t="s">
        <v>369</v>
      </c>
      <c r="K14" s="118" t="s">
        <v>425</v>
      </c>
      <c r="L14" s="130">
        <v>5000</v>
      </c>
      <c r="M14" s="131">
        <v>8000</v>
      </c>
      <c r="O14" s="5"/>
      <c r="P14" s="5"/>
      <c r="S14" s="21" t="s">
        <v>39</v>
      </c>
      <c r="T14" s="14">
        <v>10000</v>
      </c>
      <c r="U14" s="36">
        <v>30000</v>
      </c>
      <c r="W14" s="30" t="s">
        <v>35</v>
      </c>
      <c r="X14" s="93" t="s">
        <v>3</v>
      </c>
      <c r="Y14" s="94" t="s">
        <v>2</v>
      </c>
      <c r="AA14" s="30" t="s">
        <v>40</v>
      </c>
      <c r="AB14" s="93" t="s">
        <v>4</v>
      </c>
      <c r="AC14" s="94" t="s">
        <v>2</v>
      </c>
      <c r="AM14" s="21" t="s">
        <v>41</v>
      </c>
      <c r="AN14" s="9">
        <v>500</v>
      </c>
      <c r="AO14" s="23">
        <v>500</v>
      </c>
      <c r="AQ14" s="21" t="s">
        <v>38</v>
      </c>
      <c r="AR14" s="11">
        <v>1000</v>
      </c>
      <c r="AS14" s="25">
        <v>1500</v>
      </c>
      <c r="AU14" s="21" t="s">
        <v>38</v>
      </c>
      <c r="AV14" s="11">
        <v>3500</v>
      </c>
      <c r="AW14" s="25">
        <v>5000</v>
      </c>
    </row>
    <row r="15" spans="1:49" ht="15.75" customHeight="1" x14ac:dyDescent="0.2">
      <c r="A15" s="116" t="s">
        <v>453</v>
      </c>
      <c r="B15" s="134">
        <v>5000</v>
      </c>
      <c r="D15" s="116" t="s">
        <v>426</v>
      </c>
      <c r="E15" s="134">
        <v>5000</v>
      </c>
      <c r="G15" s="119" t="s">
        <v>53</v>
      </c>
      <c r="H15" s="122" t="s">
        <v>370</v>
      </c>
      <c r="I15" s="120" t="s">
        <v>2</v>
      </c>
      <c r="K15" s="5"/>
      <c r="L15" s="5"/>
      <c r="M15" s="5"/>
      <c r="O15" s="5"/>
      <c r="P15" s="5"/>
      <c r="S15" s="21" t="s">
        <v>43</v>
      </c>
      <c r="T15" s="14">
        <v>500</v>
      </c>
      <c r="U15" s="36">
        <v>500</v>
      </c>
      <c r="W15" s="33" t="s">
        <v>37</v>
      </c>
      <c r="X15" s="34">
        <f>X4*(X7+X8)</f>
        <v>17500</v>
      </c>
      <c r="Y15" s="35">
        <f>U13+X15</f>
        <v>59500</v>
      </c>
      <c r="AA15" s="21" t="s">
        <v>37</v>
      </c>
      <c r="AB15" s="66">
        <f>AB4*(AB7+AB8)</f>
        <v>17500</v>
      </c>
      <c r="AC15" s="89">
        <f>Y15+AB15</f>
        <v>77000</v>
      </c>
      <c r="AG15" s="30" t="s">
        <v>35</v>
      </c>
      <c r="AH15" s="31" t="s">
        <v>5</v>
      </c>
      <c r="AI15" s="32" t="s">
        <v>2</v>
      </c>
      <c r="AM15" s="21" t="s">
        <v>44</v>
      </c>
      <c r="AN15" s="10">
        <v>50000</v>
      </c>
      <c r="AO15" s="24">
        <v>50000</v>
      </c>
      <c r="AQ15" s="21" t="s">
        <v>41</v>
      </c>
      <c r="AR15" s="11">
        <v>1000</v>
      </c>
      <c r="AS15" s="25">
        <v>1500</v>
      </c>
      <c r="AU15" s="21" t="s">
        <v>41</v>
      </c>
      <c r="AV15" s="11">
        <v>1000</v>
      </c>
      <c r="AW15" s="25">
        <v>1000</v>
      </c>
    </row>
    <row r="16" spans="1:49" ht="15.75" customHeight="1" x14ac:dyDescent="0.2">
      <c r="A16" s="114" t="s">
        <v>114</v>
      </c>
      <c r="B16" s="115"/>
      <c r="D16" s="121" t="s">
        <v>64</v>
      </c>
      <c r="E16" s="115"/>
      <c r="G16" s="116" t="s">
        <v>426</v>
      </c>
      <c r="H16" s="113">
        <v>6000</v>
      </c>
      <c r="I16" s="129">
        <v>5000</v>
      </c>
      <c r="K16" s="119" t="s">
        <v>53</v>
      </c>
      <c r="L16" s="122" t="s">
        <v>371</v>
      </c>
      <c r="M16" s="120" t="s">
        <v>2</v>
      </c>
      <c r="O16" s="107" t="s">
        <v>53</v>
      </c>
      <c r="P16" s="95" t="s">
        <v>2</v>
      </c>
      <c r="S16" s="27" t="s">
        <v>418</v>
      </c>
      <c r="T16" s="41">
        <v>3500</v>
      </c>
      <c r="U16" s="80">
        <v>11500</v>
      </c>
      <c r="W16" s="21" t="s">
        <v>39</v>
      </c>
      <c r="X16" s="14">
        <f>X6*X3</f>
        <v>12500</v>
      </c>
      <c r="Y16" s="36">
        <f>U14+X16</f>
        <v>42500</v>
      </c>
      <c r="AA16" s="21" t="s">
        <v>39</v>
      </c>
      <c r="AB16" s="66">
        <f>AB3*(AB7+AB8)</f>
        <v>12500</v>
      </c>
      <c r="AC16" s="89">
        <v>55000</v>
      </c>
      <c r="AG16" s="21" t="s">
        <v>46</v>
      </c>
      <c r="AH16" s="14">
        <f>AH4*AH8</f>
        <v>10500</v>
      </c>
      <c r="AI16" s="36">
        <f>AH16+AC15</f>
        <v>87500</v>
      </c>
      <c r="AM16" s="21" t="s">
        <v>47</v>
      </c>
      <c r="AN16" s="10">
        <v>150000</v>
      </c>
      <c r="AO16" s="24">
        <v>150000</v>
      </c>
      <c r="AQ16" s="21" t="s">
        <v>44</v>
      </c>
      <c r="AR16" s="9" t="s">
        <v>13</v>
      </c>
      <c r="AS16" s="24">
        <v>50000</v>
      </c>
      <c r="AU16" s="21" t="s">
        <v>44</v>
      </c>
      <c r="AV16" s="9" t="s">
        <v>13</v>
      </c>
      <c r="AW16" s="23" t="s">
        <v>13</v>
      </c>
    </row>
    <row r="17" spans="1:49" ht="15.75" customHeight="1" x14ac:dyDescent="0.2">
      <c r="A17" s="116" t="s">
        <v>454</v>
      </c>
      <c r="B17" s="134">
        <v>5000</v>
      </c>
      <c r="D17" s="116" t="s">
        <v>427</v>
      </c>
      <c r="E17" s="134">
        <v>3500</v>
      </c>
      <c r="G17" s="121" t="s">
        <v>64</v>
      </c>
      <c r="H17" s="112"/>
      <c r="I17" s="117"/>
      <c r="K17" s="116" t="s">
        <v>426</v>
      </c>
      <c r="L17" s="113">
        <v>6250</v>
      </c>
      <c r="M17" s="129">
        <v>5000</v>
      </c>
      <c r="O17" s="33" t="s">
        <v>76</v>
      </c>
      <c r="P17" s="35">
        <v>5000</v>
      </c>
      <c r="S17" s="5"/>
      <c r="T17" s="5"/>
      <c r="U17" s="5"/>
      <c r="W17" s="21" t="s">
        <v>48</v>
      </c>
      <c r="X17" s="14" t="s">
        <v>17</v>
      </c>
      <c r="Y17" s="36">
        <v>500</v>
      </c>
      <c r="AA17" s="21" t="s">
        <v>49</v>
      </c>
      <c r="AB17" s="67">
        <v>500</v>
      </c>
      <c r="AC17" s="89">
        <v>1000</v>
      </c>
      <c r="AG17" s="21" t="s">
        <v>39</v>
      </c>
      <c r="AH17" s="14">
        <f>AH3*AH8</f>
        <v>7500</v>
      </c>
      <c r="AI17" s="36">
        <f>AC16+AH17</f>
        <v>62500</v>
      </c>
      <c r="AM17" s="21" t="s">
        <v>50</v>
      </c>
      <c r="AN17" s="10">
        <v>2250</v>
      </c>
      <c r="AO17" s="24">
        <v>2250</v>
      </c>
      <c r="AQ17" s="21" t="s">
        <v>47</v>
      </c>
      <c r="AR17" s="9" t="s">
        <v>13</v>
      </c>
      <c r="AS17" s="24">
        <v>150000</v>
      </c>
      <c r="AU17" s="21" t="s">
        <v>47</v>
      </c>
      <c r="AV17" s="9" t="s">
        <v>13</v>
      </c>
      <c r="AW17" s="23" t="s">
        <v>13</v>
      </c>
    </row>
    <row r="18" spans="1:49" ht="15.75" customHeight="1" x14ac:dyDescent="0.2">
      <c r="A18" s="118" t="s">
        <v>455</v>
      </c>
      <c r="B18" s="135">
        <v>5000</v>
      </c>
      <c r="D18" s="121" t="s">
        <v>68</v>
      </c>
      <c r="E18" s="115"/>
      <c r="G18" s="116" t="s">
        <v>427</v>
      </c>
      <c r="H18" s="113">
        <v>5250</v>
      </c>
      <c r="I18" s="129">
        <v>8750</v>
      </c>
      <c r="K18" s="121" t="s">
        <v>64</v>
      </c>
      <c r="L18" s="112"/>
      <c r="M18" s="117"/>
      <c r="O18" s="42" t="s">
        <v>64</v>
      </c>
      <c r="P18" s="36"/>
      <c r="S18" s="5"/>
      <c r="T18" s="5"/>
      <c r="U18" s="5"/>
      <c r="W18" s="27" t="s">
        <v>45</v>
      </c>
      <c r="X18" s="41">
        <f>X15-X16</f>
        <v>5000</v>
      </c>
      <c r="Y18" s="80">
        <f>Y15-Y16-Y17</f>
        <v>16500</v>
      </c>
      <c r="AA18" s="27" t="s">
        <v>412</v>
      </c>
      <c r="AB18" s="90">
        <f>AB15-AB16-AB17</f>
        <v>4500</v>
      </c>
      <c r="AC18" s="91">
        <f>AC15-AC16-AC17</f>
        <v>21000</v>
      </c>
      <c r="AG18" s="21" t="s">
        <v>43</v>
      </c>
      <c r="AH18" s="14" t="s">
        <v>13</v>
      </c>
      <c r="AI18" s="36">
        <v>1000</v>
      </c>
      <c r="AM18" s="21" t="s">
        <v>55</v>
      </c>
      <c r="AN18" s="10">
        <v>1250</v>
      </c>
      <c r="AO18" s="24">
        <v>1250</v>
      </c>
      <c r="AQ18" s="21" t="s">
        <v>50</v>
      </c>
      <c r="AR18" s="10">
        <v>4500</v>
      </c>
      <c r="AS18" s="24">
        <v>6750</v>
      </c>
      <c r="AU18" s="21" t="s">
        <v>50</v>
      </c>
      <c r="AV18" s="10">
        <v>4500</v>
      </c>
      <c r="AW18" s="26">
        <v>11250</v>
      </c>
    </row>
    <row r="19" spans="1:49" ht="15.75" customHeight="1" x14ac:dyDescent="0.2">
      <c r="D19" s="116" t="s">
        <v>443</v>
      </c>
      <c r="E19" s="134">
        <v>2500</v>
      </c>
      <c r="G19" s="121" t="s">
        <v>68</v>
      </c>
      <c r="H19" s="112"/>
      <c r="I19" s="117"/>
      <c r="K19" s="116" t="s">
        <v>427</v>
      </c>
      <c r="L19" s="113">
        <v>10500</v>
      </c>
      <c r="M19" s="129">
        <v>19250</v>
      </c>
      <c r="O19" s="21" t="s">
        <v>83</v>
      </c>
      <c r="P19" s="36">
        <f>350*55*(1+P1)</f>
        <v>23677.5</v>
      </c>
      <c r="S19" s="107" t="s">
        <v>53</v>
      </c>
      <c r="T19" s="93" t="s">
        <v>1</v>
      </c>
      <c r="U19" s="94" t="s">
        <v>2</v>
      </c>
      <c r="AG19" s="21" t="s">
        <v>54</v>
      </c>
      <c r="AH19" s="14">
        <v>50</v>
      </c>
      <c r="AI19" s="36">
        <v>50</v>
      </c>
      <c r="AM19" s="21" t="s">
        <v>396</v>
      </c>
      <c r="AN19" s="10">
        <v>1000</v>
      </c>
      <c r="AO19" s="24">
        <v>1000</v>
      </c>
      <c r="AQ19" s="21" t="s">
        <v>55</v>
      </c>
      <c r="AR19" s="10">
        <v>1250</v>
      </c>
      <c r="AS19" s="24">
        <v>2500</v>
      </c>
      <c r="AU19" s="21" t="s">
        <v>55</v>
      </c>
      <c r="AV19" s="10">
        <v>1250</v>
      </c>
      <c r="AW19" s="26">
        <v>3750</v>
      </c>
    </row>
    <row r="20" spans="1:49" ht="15.75" customHeight="1" x14ac:dyDescent="0.2">
      <c r="D20" s="118" t="s">
        <v>429</v>
      </c>
      <c r="E20" s="135">
        <v>6000</v>
      </c>
      <c r="G20" s="116" t="s">
        <v>428</v>
      </c>
      <c r="H20" s="113">
        <v>5000</v>
      </c>
      <c r="I20" s="129">
        <v>7500</v>
      </c>
      <c r="K20" s="121" t="s">
        <v>68</v>
      </c>
      <c r="L20" s="112"/>
      <c r="M20" s="117"/>
      <c r="O20" s="42" t="s">
        <v>68</v>
      </c>
      <c r="P20" s="36"/>
      <c r="S20" s="106"/>
      <c r="T20" s="9"/>
      <c r="U20" s="23"/>
      <c r="AG20" s="21" t="s">
        <v>404</v>
      </c>
      <c r="AH20" s="14">
        <v>5000</v>
      </c>
      <c r="AI20" s="36">
        <v>5000</v>
      </c>
      <c r="AM20" s="21" t="s">
        <v>57</v>
      </c>
      <c r="AN20" s="49">
        <v>237.5</v>
      </c>
      <c r="AO20" s="58">
        <v>237.5</v>
      </c>
      <c r="AQ20" s="21" t="s">
        <v>58</v>
      </c>
      <c r="AR20" s="10">
        <v>1000</v>
      </c>
      <c r="AS20" s="24">
        <v>2000</v>
      </c>
      <c r="AU20" s="21" t="s">
        <v>58</v>
      </c>
      <c r="AV20" s="10">
        <v>2000</v>
      </c>
      <c r="AW20" s="26">
        <v>4000</v>
      </c>
    </row>
    <row r="21" spans="1:49" ht="15.75" customHeight="1" x14ac:dyDescent="0.2">
      <c r="G21" s="118" t="s">
        <v>429</v>
      </c>
      <c r="H21" s="130">
        <v>6250</v>
      </c>
      <c r="I21" s="131">
        <v>6250</v>
      </c>
      <c r="K21" s="116" t="s">
        <v>428</v>
      </c>
      <c r="L21" s="113">
        <v>0</v>
      </c>
      <c r="M21" s="129">
        <v>7500</v>
      </c>
      <c r="O21" s="21" t="s">
        <v>89</v>
      </c>
      <c r="P21" s="36">
        <f>250*30*(1+P1)</f>
        <v>9225</v>
      </c>
      <c r="S21" s="21" t="s">
        <v>60</v>
      </c>
      <c r="T21" s="14">
        <v>18982.5</v>
      </c>
      <c r="U21" s="36">
        <v>5000</v>
      </c>
      <c r="W21" s="96" t="s">
        <v>53</v>
      </c>
      <c r="X21" s="97" t="s">
        <v>3</v>
      </c>
      <c r="Y21" s="98" t="s">
        <v>2</v>
      </c>
      <c r="AA21" s="96" t="s">
        <v>53</v>
      </c>
      <c r="AB21" s="97" t="s">
        <v>4</v>
      </c>
      <c r="AC21" s="98" t="s">
        <v>2</v>
      </c>
      <c r="AG21" s="27" t="s">
        <v>403</v>
      </c>
      <c r="AH21" s="40">
        <f>AH16-AH17-AH19-AH20</f>
        <v>-2050</v>
      </c>
      <c r="AI21" s="39">
        <f>AI16-AI17-AI18-AI19-AI20</f>
        <v>18950</v>
      </c>
      <c r="AM21" s="21" t="s">
        <v>61</v>
      </c>
      <c r="AN21" s="12">
        <v>0.1</v>
      </c>
      <c r="AO21" s="59">
        <v>0.1</v>
      </c>
      <c r="AQ21" s="21" t="s">
        <v>62</v>
      </c>
      <c r="AR21" s="49">
        <v>237.5</v>
      </c>
      <c r="AS21" s="24">
        <v>475</v>
      </c>
      <c r="AU21" s="21" t="s">
        <v>62</v>
      </c>
      <c r="AV21" s="10">
        <v>475</v>
      </c>
      <c r="AW21" s="26">
        <v>950</v>
      </c>
    </row>
    <row r="22" spans="1:49" ht="15.75" customHeight="1" x14ac:dyDescent="0.2">
      <c r="D22" s="132" t="s">
        <v>97</v>
      </c>
      <c r="E22" s="133"/>
      <c r="K22" s="118" t="s">
        <v>429</v>
      </c>
      <c r="L22" s="130">
        <v>16750</v>
      </c>
      <c r="M22" s="131">
        <v>16750</v>
      </c>
      <c r="O22" s="27" t="s">
        <v>91</v>
      </c>
      <c r="P22" s="80">
        <f>P17+P19-P21</f>
        <v>19452.5</v>
      </c>
      <c r="S22" s="42" t="s">
        <v>64</v>
      </c>
      <c r="T22" s="14"/>
      <c r="U22" s="36"/>
      <c r="W22" s="99"/>
      <c r="X22" s="100"/>
      <c r="Y22" s="101"/>
      <c r="AA22" s="99"/>
      <c r="AB22" s="100"/>
      <c r="AC22" s="101"/>
      <c r="AG22" s="50"/>
      <c r="AM22" s="21" t="s">
        <v>65</v>
      </c>
      <c r="AN22" s="9">
        <v>500</v>
      </c>
      <c r="AO22" s="24">
        <v>1500</v>
      </c>
      <c r="AQ22" s="21" t="s">
        <v>65</v>
      </c>
      <c r="AR22" s="9">
        <v>500</v>
      </c>
      <c r="AS22" s="24">
        <v>2000</v>
      </c>
      <c r="AU22" s="21" t="s">
        <v>65</v>
      </c>
      <c r="AV22" s="7">
        <v>500</v>
      </c>
      <c r="AW22" s="26">
        <v>2500</v>
      </c>
    </row>
    <row r="23" spans="1:49" ht="15.75" customHeight="1" x14ac:dyDescent="0.2">
      <c r="D23" s="114" t="s">
        <v>90</v>
      </c>
      <c r="E23" s="115"/>
      <c r="G23" s="132" t="s">
        <v>97</v>
      </c>
      <c r="H23" s="133"/>
      <c r="K23" s="5"/>
      <c r="L23" s="5"/>
      <c r="M23" s="5"/>
      <c r="S23" s="21" t="s">
        <v>66</v>
      </c>
      <c r="T23" s="14">
        <f>T4*T7*(1+T1)</f>
        <v>6457.5</v>
      </c>
      <c r="U23" s="36">
        <f>P19+T23</f>
        <v>30135</v>
      </c>
      <c r="W23" s="21" t="s">
        <v>60</v>
      </c>
      <c r="X23" s="14">
        <f>U27</f>
        <v>25410</v>
      </c>
      <c r="Y23" s="36">
        <v>5000</v>
      </c>
      <c r="AA23" s="33" t="s">
        <v>60</v>
      </c>
      <c r="AB23" s="34">
        <f>Y31</f>
        <v>27870</v>
      </c>
      <c r="AC23" s="35">
        <v>5000</v>
      </c>
      <c r="AM23" s="21" t="s">
        <v>67</v>
      </c>
      <c r="AN23" s="10">
        <v>5000</v>
      </c>
      <c r="AO23" s="24">
        <v>5000</v>
      </c>
      <c r="AQ23" s="21" t="s">
        <v>67</v>
      </c>
      <c r="AR23" s="9" t="s">
        <v>13</v>
      </c>
      <c r="AS23" s="24">
        <v>5000</v>
      </c>
      <c r="AU23" s="21" t="s">
        <v>67</v>
      </c>
      <c r="AV23" s="7">
        <v>12500</v>
      </c>
      <c r="AW23" s="26">
        <v>17500</v>
      </c>
    </row>
    <row r="24" spans="1:49" ht="15.75" customHeight="1" x14ac:dyDescent="0.2">
      <c r="D24" s="116" t="s">
        <v>444</v>
      </c>
      <c r="E24" s="134">
        <v>6000</v>
      </c>
      <c r="G24" s="114" t="s">
        <v>90</v>
      </c>
      <c r="H24" s="115"/>
      <c r="K24" s="119" t="s">
        <v>86</v>
      </c>
      <c r="L24" s="120"/>
      <c r="M24" s="109"/>
      <c r="O24" s="50"/>
      <c r="P24" s="5"/>
      <c r="S24" s="42" t="s">
        <v>68</v>
      </c>
      <c r="T24" s="14"/>
      <c r="U24" s="36"/>
      <c r="W24" s="42" t="s">
        <v>64</v>
      </c>
      <c r="X24" s="14"/>
      <c r="Y24" s="36"/>
      <c r="AA24" s="42" t="s">
        <v>64</v>
      </c>
      <c r="AB24" s="14"/>
      <c r="AC24" s="36"/>
      <c r="AG24" s="30" t="s">
        <v>53</v>
      </c>
      <c r="AH24" s="31" t="s">
        <v>5</v>
      </c>
      <c r="AI24" s="32" t="s">
        <v>2</v>
      </c>
      <c r="AM24" s="21" t="s">
        <v>69</v>
      </c>
      <c r="AN24" s="10">
        <v>50</v>
      </c>
      <c r="AO24" s="24">
        <v>100</v>
      </c>
      <c r="AQ24" s="21" t="s">
        <v>69</v>
      </c>
      <c r="AR24" s="9" t="s">
        <v>13</v>
      </c>
      <c r="AS24" s="24">
        <v>100</v>
      </c>
      <c r="AU24" s="21" t="s">
        <v>69</v>
      </c>
      <c r="AV24" s="7">
        <v>2500</v>
      </c>
      <c r="AW24" s="26">
        <v>2600</v>
      </c>
    </row>
    <row r="25" spans="1:49" ht="15.75" customHeight="1" x14ac:dyDescent="0.2">
      <c r="D25" s="116" t="s">
        <v>445</v>
      </c>
      <c r="E25" s="134">
        <v>6000</v>
      </c>
      <c r="G25" s="116" t="s">
        <v>430</v>
      </c>
      <c r="H25" s="129">
        <v>1750</v>
      </c>
      <c r="K25" s="114" t="s">
        <v>90</v>
      </c>
      <c r="L25" s="115"/>
      <c r="M25" s="111"/>
      <c r="O25" s="5"/>
      <c r="P25" s="5"/>
      <c r="S25" s="21" t="s">
        <v>70</v>
      </c>
      <c r="T25" s="14">
        <v>0</v>
      </c>
      <c r="U25" s="36">
        <f>P21+T25</f>
        <v>9225</v>
      </c>
      <c r="W25" s="21" t="s">
        <v>66</v>
      </c>
      <c r="X25" s="14">
        <f>X4*X7*(1+X1)</f>
        <v>8610</v>
      </c>
      <c r="Y25" s="36">
        <f>X25+U23</f>
        <v>38745</v>
      </c>
      <c r="AA25" s="21" t="s">
        <v>66</v>
      </c>
      <c r="AB25" s="14">
        <f>AB4*AB7*(1+AB1)</f>
        <v>4305</v>
      </c>
      <c r="AC25" s="36">
        <f>Y25+AB25</f>
        <v>43050</v>
      </c>
      <c r="AG25" s="21" t="s">
        <v>71</v>
      </c>
      <c r="AH25" s="14">
        <f>AB87</f>
        <v>3465</v>
      </c>
      <c r="AI25" s="36">
        <v>5000</v>
      </c>
      <c r="AM25" s="27" t="s">
        <v>72</v>
      </c>
      <c r="AN25" s="60">
        <v>100000</v>
      </c>
      <c r="AO25" s="54">
        <v>100000</v>
      </c>
      <c r="AQ25" s="27" t="s">
        <v>72</v>
      </c>
      <c r="AR25" s="53" t="s">
        <v>13</v>
      </c>
      <c r="AS25" s="54">
        <v>100000</v>
      </c>
      <c r="AU25" s="21" t="s">
        <v>72</v>
      </c>
      <c r="AV25" s="9" t="s">
        <v>13</v>
      </c>
      <c r="AW25" s="26">
        <v>100000</v>
      </c>
    </row>
    <row r="26" spans="1:49" ht="15.75" customHeight="1" x14ac:dyDescent="0.2">
      <c r="D26" s="114" t="s">
        <v>114</v>
      </c>
      <c r="E26" s="115"/>
      <c r="G26" s="116" t="s">
        <v>431</v>
      </c>
      <c r="H26" s="129">
        <v>6250</v>
      </c>
      <c r="K26" s="116" t="s">
        <v>430</v>
      </c>
      <c r="L26" s="129">
        <v>8750</v>
      </c>
      <c r="O26" s="30" t="s">
        <v>97</v>
      </c>
      <c r="P26" s="32"/>
      <c r="S26" s="21" t="s">
        <v>73</v>
      </c>
      <c r="T26" s="14">
        <v>500</v>
      </c>
      <c r="U26" s="36">
        <v>500</v>
      </c>
      <c r="W26" s="104" t="s">
        <v>411</v>
      </c>
      <c r="X26" s="13">
        <v>21525</v>
      </c>
      <c r="Y26" s="105">
        <v>21525</v>
      </c>
      <c r="AA26" s="21" t="s">
        <v>74</v>
      </c>
      <c r="AB26" s="14">
        <f>X36</f>
        <v>12915</v>
      </c>
      <c r="AC26" s="36">
        <f>AB26</f>
        <v>12915</v>
      </c>
      <c r="AG26" s="42" t="s">
        <v>64</v>
      </c>
      <c r="AH26" s="14"/>
      <c r="AI26" s="36"/>
      <c r="AU26" s="27" t="s">
        <v>75</v>
      </c>
      <c r="AV26" s="28">
        <v>0.25</v>
      </c>
      <c r="AW26" s="29"/>
    </row>
    <row r="27" spans="1:49" ht="15.75" customHeight="1" x14ac:dyDescent="0.2">
      <c r="D27" s="116" t="s">
        <v>446</v>
      </c>
      <c r="E27" s="134">
        <v>5000</v>
      </c>
      <c r="G27" s="116" t="s">
        <v>432</v>
      </c>
      <c r="H27" s="129">
        <v>8000</v>
      </c>
      <c r="K27" s="116" t="s">
        <v>431</v>
      </c>
      <c r="L27" s="129">
        <v>16750</v>
      </c>
      <c r="O27" s="43" t="s">
        <v>101</v>
      </c>
      <c r="P27" s="23"/>
      <c r="S27" s="27" t="s">
        <v>77</v>
      </c>
      <c r="T27" s="41">
        <f>T21+T23-T25-T26</f>
        <v>24940</v>
      </c>
      <c r="U27" s="80">
        <f>U21+U23-U25-U26</f>
        <v>25410</v>
      </c>
      <c r="W27" s="42" t="s">
        <v>68</v>
      </c>
      <c r="X27" s="14"/>
      <c r="Y27" s="36"/>
      <c r="AA27" s="42" t="s">
        <v>68</v>
      </c>
      <c r="AB27" s="14"/>
      <c r="AC27" s="36"/>
      <c r="AG27" s="21" t="s">
        <v>79</v>
      </c>
      <c r="AH27" s="14" t="s">
        <v>13</v>
      </c>
      <c r="AI27" s="36">
        <f>AC80</f>
        <v>43050</v>
      </c>
    </row>
    <row r="28" spans="1:49" ht="15.75" customHeight="1" x14ac:dyDescent="0.2">
      <c r="D28" s="116" t="s">
        <v>447</v>
      </c>
      <c r="E28" s="134">
        <v>1000</v>
      </c>
      <c r="G28" s="114" t="s">
        <v>114</v>
      </c>
      <c r="H28" s="117"/>
      <c r="K28" s="116" t="s">
        <v>432</v>
      </c>
      <c r="L28" s="129">
        <v>25500</v>
      </c>
      <c r="O28" s="21" t="s">
        <v>119</v>
      </c>
      <c r="P28" s="36">
        <f>P11</f>
        <v>4600</v>
      </c>
      <c r="S28" s="5"/>
      <c r="T28" s="5"/>
      <c r="U28" s="5"/>
      <c r="W28" s="21" t="s">
        <v>78</v>
      </c>
      <c r="X28" s="14" t="s">
        <v>13</v>
      </c>
      <c r="Y28" s="36">
        <f>U25</f>
        <v>9225</v>
      </c>
      <c r="AA28" s="21" t="s">
        <v>81</v>
      </c>
      <c r="AB28" s="14" t="s">
        <v>13</v>
      </c>
      <c r="AC28" s="36">
        <f>Y28</f>
        <v>9225</v>
      </c>
      <c r="AG28" s="21" t="s">
        <v>82</v>
      </c>
      <c r="AH28" s="14">
        <f>AB93</f>
        <v>17220</v>
      </c>
      <c r="AI28" s="36">
        <f>AC81+AH28</f>
        <v>30135</v>
      </c>
      <c r="AM28" s="5" t="s">
        <v>31</v>
      </c>
      <c r="AQ28" s="5" t="s">
        <v>31</v>
      </c>
    </row>
    <row r="29" spans="1:49" ht="15.75" customHeight="1" x14ac:dyDescent="0.2">
      <c r="D29" s="118" t="s">
        <v>448</v>
      </c>
      <c r="E29" s="135">
        <v>6000</v>
      </c>
      <c r="G29" s="116" t="s">
        <v>433</v>
      </c>
      <c r="H29" s="129">
        <v>5000</v>
      </c>
      <c r="K29" s="114" t="s">
        <v>114</v>
      </c>
      <c r="L29" s="117"/>
      <c r="O29" s="21" t="s">
        <v>123</v>
      </c>
      <c r="P29" s="36">
        <f>P4*(1+P1)-P19</f>
        <v>10762.5</v>
      </c>
      <c r="S29" s="5"/>
      <c r="T29" s="5"/>
      <c r="U29" s="5"/>
      <c r="W29" s="21" t="s">
        <v>80</v>
      </c>
      <c r="X29" s="14" t="s">
        <v>13</v>
      </c>
      <c r="Y29" s="36">
        <v>500</v>
      </c>
      <c r="AA29" s="21" t="s">
        <v>84</v>
      </c>
      <c r="AB29" s="14">
        <v>500</v>
      </c>
      <c r="AC29" s="36">
        <v>1000</v>
      </c>
      <c r="AG29" s="21" t="s">
        <v>402</v>
      </c>
      <c r="AH29" s="14" t="s">
        <v>13</v>
      </c>
      <c r="AI29" s="36">
        <v>5000</v>
      </c>
      <c r="AU29" s="5" t="s">
        <v>85</v>
      </c>
    </row>
    <row r="30" spans="1:49" ht="15.75" customHeight="1" x14ac:dyDescent="0.2">
      <c r="G30" s="116" t="s">
        <v>440</v>
      </c>
      <c r="H30" s="129">
        <v>3000</v>
      </c>
      <c r="K30" s="116" t="s">
        <v>433</v>
      </c>
      <c r="L30" s="129">
        <v>5000</v>
      </c>
      <c r="O30" s="21" t="s">
        <v>420</v>
      </c>
      <c r="P30" s="36">
        <f>P22</f>
        <v>19452.5</v>
      </c>
      <c r="S30" s="30" t="s">
        <v>86</v>
      </c>
      <c r="T30" s="95"/>
      <c r="U30" s="5"/>
      <c r="W30" s="104" t="s">
        <v>410</v>
      </c>
      <c r="X30" s="13">
        <v>27675</v>
      </c>
      <c r="Y30" s="105">
        <v>27675</v>
      </c>
      <c r="AA30" s="21" t="s">
        <v>87</v>
      </c>
      <c r="AB30" s="14">
        <f>X43</f>
        <v>46125</v>
      </c>
      <c r="AC30" s="36">
        <f>AB30</f>
        <v>46125</v>
      </c>
      <c r="AG30" s="42" t="s">
        <v>68</v>
      </c>
      <c r="AH30" s="14"/>
      <c r="AI30" s="36"/>
      <c r="AM30" s="30" t="s">
        <v>88</v>
      </c>
      <c r="AN30" s="32" t="s">
        <v>7</v>
      </c>
      <c r="AQ30" s="30" t="s">
        <v>88</v>
      </c>
      <c r="AR30" s="31" t="s">
        <v>9</v>
      </c>
      <c r="AS30" s="32" t="s">
        <v>2</v>
      </c>
      <c r="AU30" s="5" t="s">
        <v>95</v>
      </c>
    </row>
    <row r="31" spans="1:49" ht="15.75" customHeight="1" x14ac:dyDescent="0.2">
      <c r="G31" s="118" t="s">
        <v>441</v>
      </c>
      <c r="H31" s="131">
        <v>8000</v>
      </c>
      <c r="K31" s="116" t="s">
        <v>434</v>
      </c>
      <c r="L31" s="129">
        <v>8000</v>
      </c>
      <c r="O31" s="21" t="s">
        <v>130</v>
      </c>
      <c r="P31" s="37">
        <f>P28+P29+P30</f>
        <v>34815</v>
      </c>
      <c r="S31" s="43" t="s">
        <v>90</v>
      </c>
      <c r="T31" s="23"/>
      <c r="U31" s="5"/>
      <c r="W31" s="27" t="s">
        <v>77</v>
      </c>
      <c r="X31" s="40">
        <f>X23+X25+X26-X30</f>
        <v>27870</v>
      </c>
      <c r="Y31" s="39">
        <f>Y23+Y25-Y28-Y29+Y26-Y30</f>
        <v>27870</v>
      </c>
      <c r="AA31" s="27" t="s">
        <v>91</v>
      </c>
      <c r="AB31" s="40">
        <f>AB23+AB25+AB26-AB29-AB30</f>
        <v>-1535</v>
      </c>
      <c r="AC31" s="39">
        <f>AC23+AC25+AC26-AC28-AC29-AC30</f>
        <v>4615</v>
      </c>
      <c r="AG31" s="21" t="s">
        <v>92</v>
      </c>
      <c r="AH31" s="14" t="s">
        <v>13</v>
      </c>
      <c r="AI31" s="36">
        <f>AC84</f>
        <v>9225</v>
      </c>
      <c r="AM31" s="21" t="s">
        <v>93</v>
      </c>
      <c r="AN31" s="36">
        <f>AO3*AN6</f>
        <v>12500</v>
      </c>
      <c r="AQ31" s="21" t="s">
        <v>94</v>
      </c>
      <c r="AR31" s="14">
        <f>AR3*AR6</f>
        <v>26000</v>
      </c>
      <c r="AS31" s="36">
        <f>AR31+AN31</f>
        <v>38500</v>
      </c>
      <c r="AU31" s="5" t="s">
        <v>105</v>
      </c>
    </row>
    <row r="32" spans="1:49" ht="15.75" customHeight="1" x14ac:dyDescent="0.2">
      <c r="K32" s="116" t="s">
        <v>435</v>
      </c>
      <c r="L32" s="129">
        <v>12500</v>
      </c>
      <c r="O32" s="43" t="s">
        <v>114</v>
      </c>
      <c r="P32" s="36"/>
      <c r="S32" s="21" t="s">
        <v>96</v>
      </c>
      <c r="T32" s="36">
        <f>U13*(1+T1)-U23</f>
        <v>21525</v>
      </c>
      <c r="U32" s="5"/>
      <c r="AA32" s="50"/>
      <c r="AG32" s="21" t="s">
        <v>98</v>
      </c>
      <c r="AH32" s="14" t="s">
        <v>13</v>
      </c>
      <c r="AI32" s="36">
        <v>1000</v>
      </c>
      <c r="AM32" s="21" t="s">
        <v>99</v>
      </c>
      <c r="AN32" s="36">
        <f>AN17</f>
        <v>2250</v>
      </c>
      <c r="AQ32" s="21" t="s">
        <v>99</v>
      </c>
      <c r="AR32" s="14">
        <f>AR18</f>
        <v>4500</v>
      </c>
      <c r="AS32" s="36">
        <f>AR32+AN32</f>
        <v>6750</v>
      </c>
      <c r="AU32" s="5" t="s">
        <v>113</v>
      </c>
    </row>
    <row r="33" spans="11:49" ht="15.75" customHeight="1" x14ac:dyDescent="0.2">
      <c r="K33" s="118" t="s">
        <v>436</v>
      </c>
      <c r="L33" s="131">
        <v>25500</v>
      </c>
      <c r="O33" s="21" t="s">
        <v>139</v>
      </c>
      <c r="P33" s="36">
        <v>5000</v>
      </c>
      <c r="S33" s="21" t="s">
        <v>100</v>
      </c>
      <c r="T33" s="36">
        <f>U46</f>
        <v>6900</v>
      </c>
      <c r="U33" s="5"/>
      <c r="W33" s="30" t="s">
        <v>97</v>
      </c>
      <c r="X33" s="95"/>
      <c r="AG33" s="21" t="s">
        <v>102</v>
      </c>
      <c r="AH33" s="14" t="s">
        <v>13</v>
      </c>
      <c r="AI33" s="36">
        <f>AC86</f>
        <v>46125</v>
      </c>
      <c r="AM33" s="21" t="s">
        <v>103</v>
      </c>
      <c r="AN33" s="36">
        <f>AN19+AN20</f>
        <v>1237.5</v>
      </c>
      <c r="AQ33" s="21" t="s">
        <v>104</v>
      </c>
      <c r="AR33" s="14">
        <f>AR20+AR21</f>
        <v>1237.5</v>
      </c>
      <c r="AS33" s="36">
        <f>AR33+AN33</f>
        <v>2475</v>
      </c>
      <c r="AU33" s="5" t="s">
        <v>122</v>
      </c>
    </row>
    <row r="34" spans="11:49" ht="15.75" customHeight="1" x14ac:dyDescent="0.2">
      <c r="O34" s="21" t="s">
        <v>421</v>
      </c>
      <c r="P34" s="36">
        <v>8000</v>
      </c>
      <c r="S34" s="21" t="s">
        <v>417</v>
      </c>
      <c r="T34" s="36">
        <f>U27</f>
        <v>25410</v>
      </c>
      <c r="U34" s="5"/>
      <c r="W34" s="43" t="s">
        <v>101</v>
      </c>
      <c r="X34" s="23"/>
      <c r="AA34" s="30" t="s">
        <v>86</v>
      </c>
      <c r="AB34" s="95"/>
      <c r="AG34" s="21" t="s">
        <v>106</v>
      </c>
      <c r="AH34" s="14">
        <v>50</v>
      </c>
      <c r="AI34" s="36">
        <v>50</v>
      </c>
      <c r="AM34" s="21" t="s">
        <v>107</v>
      </c>
      <c r="AN34" s="36">
        <f>AN18</f>
        <v>1250</v>
      </c>
      <c r="AQ34" s="21" t="s">
        <v>387</v>
      </c>
      <c r="AR34" s="14">
        <f>AR19</f>
        <v>1250</v>
      </c>
      <c r="AS34" s="36">
        <f>AR34+AN34</f>
        <v>2500</v>
      </c>
      <c r="AU34" s="5" t="s">
        <v>129</v>
      </c>
    </row>
    <row r="35" spans="11:49" ht="15.75" customHeight="1" x14ac:dyDescent="0.2">
      <c r="O35" s="21" t="s">
        <v>144</v>
      </c>
      <c r="P35" s="36">
        <f>P10</f>
        <v>6440</v>
      </c>
      <c r="S35" s="21" t="s">
        <v>108</v>
      </c>
      <c r="T35" s="37">
        <f>T32+T33+T34</f>
        <v>53835</v>
      </c>
      <c r="U35" s="5"/>
      <c r="W35" s="21" t="s">
        <v>414</v>
      </c>
      <c r="X35" s="36">
        <f>X3*X9</f>
        <v>25000</v>
      </c>
      <c r="AA35" s="43" t="s">
        <v>90</v>
      </c>
      <c r="AB35" s="23"/>
      <c r="AG35" s="27" t="s">
        <v>110</v>
      </c>
      <c r="AH35" s="40">
        <f>AH25+AH28-AH34</f>
        <v>20635</v>
      </c>
      <c r="AI35" s="39">
        <f>AI25+AI27+AI28+AI29-AI31-AI32-AI33-AI34</f>
        <v>26785</v>
      </c>
      <c r="AM35" s="21" t="s">
        <v>111</v>
      </c>
      <c r="AN35" s="37">
        <f>AN31+AN32+AN33+AN34</f>
        <v>17237.5</v>
      </c>
      <c r="AQ35" s="21" t="s">
        <v>112</v>
      </c>
      <c r="AR35" s="15">
        <f>AR31+AR32+AR33+AR34</f>
        <v>32987.5</v>
      </c>
      <c r="AS35" s="37">
        <f>AR35+AN35</f>
        <v>50225</v>
      </c>
      <c r="AU35" s="5" t="s">
        <v>138</v>
      </c>
    </row>
    <row r="36" spans="11:49" ht="15.75" customHeight="1" x14ac:dyDescent="0.2">
      <c r="O36" s="21" t="s">
        <v>153</v>
      </c>
      <c r="P36" s="36">
        <f>P5*(1+P1)-P21</f>
        <v>15375</v>
      </c>
      <c r="S36" s="43" t="s">
        <v>114</v>
      </c>
      <c r="T36" s="36"/>
      <c r="U36" s="5"/>
      <c r="W36" s="21" t="s">
        <v>109</v>
      </c>
      <c r="X36" s="36">
        <v>12915</v>
      </c>
      <c r="AA36" s="21" t="s">
        <v>116</v>
      </c>
      <c r="AB36" s="36">
        <f>AB3*AB9</f>
        <v>12500</v>
      </c>
      <c r="AG36" s="50"/>
      <c r="AM36" s="27" t="s">
        <v>117</v>
      </c>
      <c r="AN36" s="61">
        <f>AN35/AN10</f>
        <v>8.6187500000000004</v>
      </c>
      <c r="AQ36" s="27" t="s">
        <v>118</v>
      </c>
      <c r="AR36" s="55">
        <f>AR35/AR11</f>
        <v>8.2468749999999993</v>
      </c>
      <c r="AS36" s="39"/>
      <c r="AU36" s="5" t="s">
        <v>147</v>
      </c>
    </row>
    <row r="37" spans="11:49" ht="15.75" customHeight="1" x14ac:dyDescent="0.2">
      <c r="O37" s="27" t="s">
        <v>158</v>
      </c>
      <c r="P37" s="39">
        <f>P33+P34+P35+P36</f>
        <v>34815</v>
      </c>
      <c r="S37" s="21" t="s">
        <v>120</v>
      </c>
      <c r="T37" s="36">
        <v>5000</v>
      </c>
      <c r="U37" s="5"/>
      <c r="W37" s="21" t="s">
        <v>115</v>
      </c>
      <c r="X37" s="36">
        <f>Y51</f>
        <v>15525</v>
      </c>
      <c r="AA37" s="21" t="s">
        <v>121</v>
      </c>
      <c r="AB37" s="36">
        <f>AB4*(AB8)*(1+AB1)</f>
        <v>17220</v>
      </c>
      <c r="AM37" s="50"/>
      <c r="AU37" s="5" t="s">
        <v>157</v>
      </c>
      <c r="AV37" s="13">
        <f>4500*1.23</f>
        <v>5535</v>
      </c>
    </row>
    <row r="38" spans="11:49" ht="15.75" customHeight="1" x14ac:dyDescent="0.2">
      <c r="S38" s="21" t="s">
        <v>416</v>
      </c>
      <c r="T38" s="36">
        <v>11500</v>
      </c>
      <c r="U38" s="5"/>
      <c r="W38" s="21" t="s">
        <v>413</v>
      </c>
      <c r="X38" s="36">
        <f>Y31</f>
        <v>27870</v>
      </c>
      <c r="AA38" s="21" t="s">
        <v>125</v>
      </c>
      <c r="AB38" s="36">
        <f>AC51</f>
        <v>15525</v>
      </c>
      <c r="AG38" s="46" t="s">
        <v>97</v>
      </c>
      <c r="AH38" s="47"/>
      <c r="AU38" s="5" t="s">
        <v>164</v>
      </c>
    </row>
    <row r="39" spans="11:49" ht="15.75" customHeight="1" x14ac:dyDescent="0.2">
      <c r="S39" s="21" t="s">
        <v>126</v>
      </c>
      <c r="T39" s="36">
        <f>U14*(1+T1)-U25</f>
        <v>27675</v>
      </c>
      <c r="U39" s="5"/>
      <c r="W39" s="21" t="s">
        <v>124</v>
      </c>
      <c r="X39" s="37">
        <f>X35+X36+X37+X38</f>
        <v>81310</v>
      </c>
      <c r="AA39" s="21" t="s">
        <v>127</v>
      </c>
      <c r="AB39" s="36">
        <f>AB31</f>
        <v>-1535</v>
      </c>
      <c r="AG39" s="43" t="s">
        <v>90</v>
      </c>
      <c r="AH39" s="23"/>
      <c r="AM39" s="30" t="s">
        <v>128</v>
      </c>
      <c r="AN39" s="31" t="s">
        <v>7</v>
      </c>
      <c r="AO39" s="32" t="s">
        <v>2</v>
      </c>
      <c r="AQ39" s="30" t="s">
        <v>128</v>
      </c>
      <c r="AR39" s="31" t="s">
        <v>9</v>
      </c>
      <c r="AS39" s="32" t="s">
        <v>2</v>
      </c>
    </row>
    <row r="40" spans="11:49" ht="15.75" customHeight="1" x14ac:dyDescent="0.2">
      <c r="S40" s="21" t="s">
        <v>131</v>
      </c>
      <c r="T40" s="36">
        <f>U45</f>
        <v>9660</v>
      </c>
      <c r="U40" s="5"/>
      <c r="W40" s="43" t="s">
        <v>114</v>
      </c>
      <c r="X40" s="36"/>
      <c r="AA40" s="21" t="s">
        <v>133</v>
      </c>
      <c r="AB40" s="37">
        <f>AB36+AB37+AB38+AB39</f>
        <v>43710</v>
      </c>
      <c r="AG40" s="21" t="s">
        <v>401</v>
      </c>
      <c r="AH40" s="36" t="s">
        <v>13</v>
      </c>
      <c r="AM40" s="21" t="s">
        <v>134</v>
      </c>
      <c r="AN40" s="14" t="s">
        <v>13</v>
      </c>
      <c r="AO40" s="36">
        <f>AI16</f>
        <v>87500</v>
      </c>
      <c r="AQ40" s="21" t="s">
        <v>134</v>
      </c>
      <c r="AR40" s="14" t="s">
        <v>13</v>
      </c>
      <c r="AS40" s="36">
        <f>AO40</f>
        <v>87500</v>
      </c>
      <c r="AU40" s="30" t="s">
        <v>88</v>
      </c>
      <c r="AV40" s="31" t="s">
        <v>10</v>
      </c>
      <c r="AW40" s="32" t="s">
        <v>2</v>
      </c>
    </row>
    <row r="41" spans="11:49" ht="15.75" customHeight="1" x14ac:dyDescent="0.2">
      <c r="S41" s="27" t="s">
        <v>135</v>
      </c>
      <c r="T41" s="39">
        <f>T37+T38+T39+T40</f>
        <v>53835</v>
      </c>
      <c r="U41" s="5"/>
      <c r="W41" s="21" t="s">
        <v>132</v>
      </c>
      <c r="X41" s="36">
        <v>5000</v>
      </c>
      <c r="AA41" s="43" t="s">
        <v>114</v>
      </c>
      <c r="AB41" s="36"/>
      <c r="AG41" s="21" t="s">
        <v>136</v>
      </c>
      <c r="AH41" s="36">
        <f>AH4*AH8*(1+AH1)</f>
        <v>12915</v>
      </c>
      <c r="AM41" s="21" t="s">
        <v>137</v>
      </c>
      <c r="AN41" s="14">
        <f>(AN12+AN13)*AN11</f>
        <v>22500</v>
      </c>
      <c r="AO41" s="36">
        <f>AN41</f>
        <v>22500</v>
      </c>
      <c r="AQ41" s="21" t="s">
        <v>137</v>
      </c>
      <c r="AR41" s="14">
        <f>AR12*(AR13+AR14)</f>
        <v>45000</v>
      </c>
      <c r="AS41" s="36">
        <f>AR41+AN41</f>
        <v>67500</v>
      </c>
      <c r="AU41" s="33" t="s">
        <v>177</v>
      </c>
      <c r="AV41" s="34">
        <f>AV6*AV3</f>
        <v>26000</v>
      </c>
      <c r="AW41" s="35">
        <f>AS31+AV41</f>
        <v>64500</v>
      </c>
    </row>
    <row r="42" spans="11:49" ht="15.75" customHeight="1" x14ac:dyDescent="0.2">
      <c r="S42" s="65"/>
      <c r="T42" s="5"/>
      <c r="U42" s="5"/>
      <c r="W42" s="21" t="s">
        <v>415</v>
      </c>
      <c r="X42" s="36">
        <v>16500</v>
      </c>
      <c r="AA42" s="21" t="s">
        <v>141</v>
      </c>
      <c r="AB42" s="36">
        <v>5000</v>
      </c>
      <c r="AG42" s="21" t="s">
        <v>142</v>
      </c>
      <c r="AH42" s="36">
        <f>-AJ59</f>
        <v>1840</v>
      </c>
      <c r="AM42" s="21" t="s">
        <v>143</v>
      </c>
      <c r="AN42" s="14">
        <f>AN14*AN36</f>
        <v>4309.375</v>
      </c>
      <c r="AO42" s="36">
        <f>AN42</f>
        <v>4309.375</v>
      </c>
      <c r="AQ42" s="21" t="s">
        <v>143</v>
      </c>
      <c r="AR42" s="14">
        <f>(AS14*AR36)-AN42</f>
        <v>8060.9374999999982</v>
      </c>
      <c r="AS42" s="36">
        <f>AR42+AN42</f>
        <v>12370.312499999998</v>
      </c>
      <c r="AU42" s="21" t="s">
        <v>99</v>
      </c>
      <c r="AV42" s="14">
        <f>AV18</f>
        <v>4500</v>
      </c>
      <c r="AW42" s="36">
        <f>AW18</f>
        <v>11250</v>
      </c>
    </row>
    <row r="43" spans="11:49" ht="15.75" customHeight="1" x14ac:dyDescent="0.2">
      <c r="S43" s="5"/>
      <c r="T43" s="5"/>
      <c r="U43" s="5"/>
      <c r="W43" s="21" t="s">
        <v>140</v>
      </c>
      <c r="X43" s="36">
        <v>46125</v>
      </c>
      <c r="AA43" s="21" t="s">
        <v>145</v>
      </c>
      <c r="AB43" s="36">
        <f>AC18</f>
        <v>21000</v>
      </c>
      <c r="AG43" s="21" t="s">
        <v>400</v>
      </c>
      <c r="AH43" s="36">
        <f>AH35</f>
        <v>20635</v>
      </c>
      <c r="AM43" s="21" t="s">
        <v>146</v>
      </c>
      <c r="AN43" s="14" t="s">
        <v>13</v>
      </c>
      <c r="AO43" s="36">
        <f>AI17</f>
        <v>62500</v>
      </c>
      <c r="AQ43" s="21" t="s">
        <v>146</v>
      </c>
      <c r="AR43" s="14" t="s">
        <v>13</v>
      </c>
      <c r="AS43" s="36">
        <f>AO43</f>
        <v>62500</v>
      </c>
      <c r="AU43" s="21" t="s">
        <v>183</v>
      </c>
      <c r="AV43" s="14">
        <f>AR33*2</f>
        <v>2475</v>
      </c>
      <c r="AW43" s="36">
        <f>AS33+AV43</f>
        <v>4950</v>
      </c>
    </row>
    <row r="44" spans="11:49" ht="15.75" customHeight="1" x14ac:dyDescent="0.2">
      <c r="S44" s="30" t="s">
        <v>148</v>
      </c>
      <c r="T44" s="93" t="s">
        <v>1</v>
      </c>
      <c r="U44" s="94" t="s">
        <v>2</v>
      </c>
      <c r="W44" s="21" t="s">
        <v>144</v>
      </c>
      <c r="X44" s="36">
        <f>Y50</f>
        <v>13685</v>
      </c>
      <c r="AA44" s="21" t="s">
        <v>150</v>
      </c>
      <c r="AB44" s="36" t="s">
        <v>13</v>
      </c>
      <c r="AG44" s="21" t="s">
        <v>151</v>
      </c>
      <c r="AH44" s="37">
        <f>AH41+AH42+AH43</f>
        <v>35390</v>
      </c>
      <c r="AM44" s="21" t="s">
        <v>152</v>
      </c>
      <c r="AN44" s="14">
        <f>AN6*AO3</f>
        <v>12500</v>
      </c>
      <c r="AO44" s="36">
        <f>AN44</f>
        <v>12500</v>
      </c>
      <c r="AQ44" s="21" t="s">
        <v>152</v>
      </c>
      <c r="AR44" s="14">
        <f>AR3*AR6</f>
        <v>26000</v>
      </c>
      <c r="AS44" s="36">
        <f>AR44+AN44</f>
        <v>38500</v>
      </c>
      <c r="AU44" s="21" t="s">
        <v>373</v>
      </c>
      <c r="AV44" s="14">
        <f>AV19</f>
        <v>1250</v>
      </c>
      <c r="AW44" s="36">
        <f>AW19</f>
        <v>3750</v>
      </c>
    </row>
    <row r="45" spans="11:49" ht="15.75" customHeight="1" x14ac:dyDescent="0.2">
      <c r="S45" s="21" t="s">
        <v>154</v>
      </c>
      <c r="T45" s="14">
        <f>T13*T1</f>
        <v>3220</v>
      </c>
      <c r="U45" s="36">
        <f>T45+P10</f>
        <v>9660</v>
      </c>
      <c r="W45" s="27" t="s">
        <v>149</v>
      </c>
      <c r="X45" s="39">
        <f>X41+X42+X43+X44</f>
        <v>81310</v>
      </c>
      <c r="AA45" s="21" t="s">
        <v>155</v>
      </c>
      <c r="AB45" s="36">
        <f>AC50</f>
        <v>17710</v>
      </c>
      <c r="AG45" s="43" t="s">
        <v>114</v>
      </c>
      <c r="AH45" s="36"/>
      <c r="AM45" s="21" t="s">
        <v>156</v>
      </c>
      <c r="AN45" s="14">
        <f>AN33</f>
        <v>1237.5</v>
      </c>
      <c r="AO45" s="36">
        <f>AN45</f>
        <v>1237.5</v>
      </c>
      <c r="AQ45" s="21" t="s">
        <v>156</v>
      </c>
      <c r="AR45" s="14">
        <f>AR33</f>
        <v>1237.5</v>
      </c>
      <c r="AS45" s="36">
        <f>AR45+AN45</f>
        <v>2475</v>
      </c>
      <c r="AU45" s="21" t="s">
        <v>112</v>
      </c>
      <c r="AV45" s="15">
        <f>AV41+AV42+AV43+AV44</f>
        <v>34225</v>
      </c>
      <c r="AW45" s="37">
        <f>AW41+AW42+AW43+AW44</f>
        <v>84450</v>
      </c>
    </row>
    <row r="46" spans="11:49" ht="15.75" customHeight="1" x14ac:dyDescent="0.2">
      <c r="S46" s="21" t="s">
        <v>159</v>
      </c>
      <c r="T46" s="14">
        <f>T14*T1</f>
        <v>2300</v>
      </c>
      <c r="U46" s="36">
        <f>T46+P11</f>
        <v>6900</v>
      </c>
      <c r="AA46" s="27" t="s">
        <v>160</v>
      </c>
      <c r="AB46" s="39">
        <f>AB42+AB43+AB45</f>
        <v>43710</v>
      </c>
      <c r="AG46" s="21" t="s">
        <v>399</v>
      </c>
      <c r="AH46" s="36">
        <v>5000</v>
      </c>
      <c r="AM46" s="21" t="s">
        <v>161</v>
      </c>
      <c r="AN46" s="14">
        <f>AN32</f>
        <v>2250</v>
      </c>
      <c r="AO46" s="36">
        <f>AN46</f>
        <v>2250</v>
      </c>
      <c r="AQ46" s="21" t="s">
        <v>162</v>
      </c>
      <c r="AR46" s="14">
        <f>AR32</f>
        <v>4500</v>
      </c>
      <c r="AS46" s="36">
        <f>AR46+AN46</f>
        <v>6750</v>
      </c>
      <c r="AU46" s="27" t="s">
        <v>118</v>
      </c>
      <c r="AV46" s="38">
        <f>AV45/AV11</f>
        <v>8.5562500000000004</v>
      </c>
      <c r="AW46" s="39"/>
    </row>
    <row r="47" spans="11:49" ht="15.75" customHeight="1" x14ac:dyDescent="0.2">
      <c r="S47" s="21" t="s">
        <v>163</v>
      </c>
      <c r="T47" s="14">
        <f>T45-T46</f>
        <v>920</v>
      </c>
      <c r="U47" s="36">
        <f>T47+P12</f>
        <v>2760</v>
      </c>
      <c r="W47" s="68"/>
      <c r="AA47" s="65"/>
      <c r="AG47" s="21" t="s">
        <v>398</v>
      </c>
      <c r="AH47" s="36">
        <v>18950</v>
      </c>
      <c r="AM47" s="21" t="s">
        <v>386</v>
      </c>
      <c r="AN47" s="14">
        <f>AN34</f>
        <v>1250</v>
      </c>
      <c r="AO47" s="36">
        <f>AN47</f>
        <v>1250</v>
      </c>
      <c r="AQ47" s="21" t="s">
        <v>386</v>
      </c>
      <c r="AR47" s="14">
        <f>AR34</f>
        <v>1250</v>
      </c>
      <c r="AS47" s="36">
        <f>AR47+AN47</f>
        <v>2500</v>
      </c>
    </row>
    <row r="48" spans="11:49" ht="15.75" customHeight="1" x14ac:dyDescent="0.2">
      <c r="S48" s="27" t="s">
        <v>165</v>
      </c>
      <c r="T48" s="41">
        <f>T47</f>
        <v>920</v>
      </c>
      <c r="U48" s="80">
        <f>T48+P13</f>
        <v>2760</v>
      </c>
      <c r="AG48" s="21" t="s">
        <v>397</v>
      </c>
      <c r="AH48" s="36">
        <v>5000</v>
      </c>
      <c r="AM48" s="21" t="s">
        <v>166</v>
      </c>
      <c r="AN48" s="14">
        <v>500</v>
      </c>
      <c r="AO48" s="36">
        <v>1500</v>
      </c>
      <c r="AQ48" s="21" t="s">
        <v>166</v>
      </c>
      <c r="AR48" s="14">
        <v>500</v>
      </c>
      <c r="AS48" s="36">
        <v>2000</v>
      </c>
      <c r="AU48" s="30" t="s">
        <v>128</v>
      </c>
      <c r="AV48" s="31" t="s">
        <v>10</v>
      </c>
      <c r="AW48" s="32" t="s">
        <v>2</v>
      </c>
    </row>
    <row r="49" spans="23:49" ht="15.75" customHeight="1" x14ac:dyDescent="0.2">
      <c r="W49" s="30" t="s">
        <v>148</v>
      </c>
      <c r="X49" s="93" t="s">
        <v>3</v>
      </c>
      <c r="Y49" s="94" t="s">
        <v>2</v>
      </c>
      <c r="AA49" s="30" t="s">
        <v>51</v>
      </c>
      <c r="AB49" s="93" t="s">
        <v>4</v>
      </c>
      <c r="AC49" s="94" t="s">
        <v>2</v>
      </c>
      <c r="AG49" s="21" t="s">
        <v>167</v>
      </c>
      <c r="AH49" s="36">
        <f>AC107+AH57</f>
        <v>6440</v>
      </c>
      <c r="AM49" s="21" t="s">
        <v>168</v>
      </c>
      <c r="AN49" s="14">
        <v>50</v>
      </c>
      <c r="AO49" s="36">
        <v>100</v>
      </c>
      <c r="AQ49" s="21" t="s">
        <v>375</v>
      </c>
      <c r="AR49" s="14" t="s">
        <v>13</v>
      </c>
      <c r="AS49" s="36">
        <v>100</v>
      </c>
      <c r="AU49" s="33" t="s">
        <v>134</v>
      </c>
      <c r="AV49" s="34" t="s">
        <v>13</v>
      </c>
      <c r="AW49" s="35">
        <f>AS58</f>
        <v>87500</v>
      </c>
    </row>
    <row r="50" spans="23:49" ht="15.75" customHeight="1" x14ac:dyDescent="0.2">
      <c r="W50" s="21" t="s">
        <v>169</v>
      </c>
      <c r="X50" s="7">
        <f>X4*(X7+X8)*X1</f>
        <v>4025</v>
      </c>
      <c r="Y50" s="26">
        <f>U45+X50</f>
        <v>13685</v>
      </c>
      <c r="AA50" s="21" t="s">
        <v>170</v>
      </c>
      <c r="AB50" s="14">
        <f>AB4*(AB7+AB8)*AB1</f>
        <v>4025</v>
      </c>
      <c r="AC50" s="36">
        <f>Y50+AB50</f>
        <v>17710</v>
      </c>
      <c r="AG50" s="21" t="s">
        <v>171</v>
      </c>
      <c r="AH50" s="36" t="s">
        <v>13</v>
      </c>
      <c r="AM50" s="21" t="s">
        <v>376</v>
      </c>
      <c r="AN50" s="15" t="s">
        <v>13</v>
      </c>
      <c r="AO50" s="36">
        <v>5000</v>
      </c>
      <c r="AQ50" s="21" t="s">
        <v>376</v>
      </c>
      <c r="AR50" s="15" t="s">
        <v>13</v>
      </c>
      <c r="AS50" s="36">
        <v>5000</v>
      </c>
      <c r="AU50" s="21" t="s">
        <v>137</v>
      </c>
      <c r="AV50" s="14">
        <f>(AV13+AV14)*AV12</f>
        <v>72000</v>
      </c>
      <c r="AW50" s="36">
        <f>AS59+AV50</f>
        <v>139500</v>
      </c>
    </row>
    <row r="51" spans="23:49" ht="15.75" customHeight="1" x14ac:dyDescent="0.2">
      <c r="W51" s="21" t="s">
        <v>172</v>
      </c>
      <c r="X51" s="7">
        <f>X3*(X6+X9)*X1</f>
        <v>8625</v>
      </c>
      <c r="Y51" s="26">
        <f>U46+X51</f>
        <v>15525</v>
      </c>
      <c r="AA51" s="21" t="s">
        <v>173</v>
      </c>
      <c r="AB51" s="14" t="s">
        <v>13</v>
      </c>
      <c r="AC51" s="36">
        <f>Y51</f>
        <v>15525</v>
      </c>
      <c r="AG51" s="27" t="s">
        <v>174</v>
      </c>
      <c r="AH51" s="39">
        <f>AH46+AH47+AH48+AH49</f>
        <v>35390</v>
      </c>
      <c r="AM51" s="27" t="s">
        <v>395</v>
      </c>
      <c r="AN51" s="40">
        <v>9021.8799999999992</v>
      </c>
      <c r="AO51" s="39">
        <f>AO40+AO41+AO42-AO43-AO44-AO45-AO46-AO47-AO48-AO49-AO50</f>
        <v>27971.875</v>
      </c>
      <c r="AQ51" s="27" t="s">
        <v>377</v>
      </c>
      <c r="AR51" s="40">
        <f>AR41+AR42-AR44-AR45-AR46-AR47-AR48</f>
        <v>19573.4375</v>
      </c>
      <c r="AS51" s="39">
        <f>AS40+AS41+AS42-AS43-AS44-AS45-AS46-AS47-AS48-AS49-AS50</f>
        <v>47545.3125</v>
      </c>
      <c r="AU51" s="21" t="s">
        <v>143</v>
      </c>
      <c r="AV51" s="14">
        <f>(1000*AV46) - (1500*AR36)</f>
        <v>-3814.0624999999982</v>
      </c>
      <c r="AW51" s="36">
        <f>AS42+AV51</f>
        <v>8556.25</v>
      </c>
    </row>
    <row r="52" spans="23:49" ht="15.75" customHeight="1" x14ac:dyDescent="0.2">
      <c r="W52" s="21" t="s">
        <v>175</v>
      </c>
      <c r="X52" s="7">
        <f>X50-X51</f>
        <v>-4600</v>
      </c>
      <c r="Y52" s="26">
        <f>Y50-Y51</f>
        <v>-1840</v>
      </c>
      <c r="AA52" s="21" t="s">
        <v>176</v>
      </c>
      <c r="AB52" s="14">
        <f>AB50</f>
        <v>4025</v>
      </c>
      <c r="AC52" s="36">
        <f>AC50-AC51</f>
        <v>2185</v>
      </c>
      <c r="AG52" s="68"/>
      <c r="AM52" s="50"/>
      <c r="AU52" s="21" t="s">
        <v>146</v>
      </c>
      <c r="AV52" s="14" t="s">
        <v>13</v>
      </c>
      <c r="AW52" s="36">
        <f>AS60</f>
        <v>62500</v>
      </c>
    </row>
    <row r="53" spans="23:49" ht="15.75" customHeight="1" x14ac:dyDescent="0.2">
      <c r="W53" s="27" t="s">
        <v>178</v>
      </c>
      <c r="X53" s="102">
        <f>ABS(X52)</f>
        <v>4600</v>
      </c>
      <c r="Y53" s="103">
        <f>ABS(Y52)</f>
        <v>1840</v>
      </c>
      <c r="AA53" s="92"/>
      <c r="AB53" s="41">
        <f>AB52</f>
        <v>4025</v>
      </c>
      <c r="AC53" s="80">
        <f>AC52</f>
        <v>2185</v>
      </c>
      <c r="AF53" s="69"/>
      <c r="AU53" s="21" t="s">
        <v>152</v>
      </c>
      <c r="AV53" s="14">
        <f>AV6*AV3</f>
        <v>26000</v>
      </c>
      <c r="AW53" s="36">
        <f>AS44+AV53</f>
        <v>64500</v>
      </c>
    </row>
    <row r="54" spans="23:49" ht="15.75" customHeight="1" x14ac:dyDescent="0.2">
      <c r="AF54" s="70"/>
      <c r="AG54" s="72" t="s">
        <v>148</v>
      </c>
      <c r="AH54" s="73" t="s">
        <v>179</v>
      </c>
      <c r="AI54" s="19" t="s">
        <v>8</v>
      </c>
      <c r="AJ54" s="73" t="s">
        <v>180</v>
      </c>
      <c r="AK54" s="20"/>
      <c r="AM54" s="5" t="s">
        <v>181</v>
      </c>
      <c r="AQ54" s="5" t="s">
        <v>182</v>
      </c>
      <c r="AU54" s="21" t="s">
        <v>156</v>
      </c>
      <c r="AV54" s="14">
        <f>AV43</f>
        <v>2475</v>
      </c>
      <c r="AW54" s="36">
        <f>AW43</f>
        <v>4950</v>
      </c>
    </row>
    <row r="55" spans="23:49" ht="15.75" customHeight="1" x14ac:dyDescent="0.2">
      <c r="AF55" s="70"/>
      <c r="AG55" s="74"/>
      <c r="AH55" s="17"/>
      <c r="AI55" s="8"/>
      <c r="AJ55" s="17"/>
      <c r="AK55" s="75"/>
      <c r="AM55" s="5" t="s">
        <v>185</v>
      </c>
      <c r="AQ55" s="5" t="s">
        <v>186</v>
      </c>
      <c r="AU55" s="21" t="s">
        <v>161</v>
      </c>
      <c r="AV55" s="14">
        <f>AV42</f>
        <v>4500</v>
      </c>
      <c r="AW55" s="36">
        <f>AW42</f>
        <v>11250</v>
      </c>
    </row>
    <row r="56" spans="23:49" ht="15.75" customHeight="1" x14ac:dyDescent="0.2">
      <c r="AA56" s="30" t="s">
        <v>0</v>
      </c>
      <c r="AB56" s="31" t="s">
        <v>4</v>
      </c>
      <c r="AC56" s="32" t="s">
        <v>2</v>
      </c>
      <c r="AF56" s="70"/>
      <c r="AG56" s="76"/>
      <c r="AH56" s="77"/>
      <c r="AI56" s="78" t="s">
        <v>184</v>
      </c>
      <c r="AJ56" s="77"/>
      <c r="AK56" s="79"/>
      <c r="AU56" s="21" t="s">
        <v>374</v>
      </c>
      <c r="AV56" s="14">
        <f>AV44</f>
        <v>1250</v>
      </c>
      <c r="AW56" s="36">
        <f>AW44</f>
        <v>3750</v>
      </c>
    </row>
    <row r="57" spans="23:49" ht="15.75" customHeight="1" x14ac:dyDescent="0.2">
      <c r="AA57" s="21" t="s">
        <v>11</v>
      </c>
      <c r="AB57" s="10">
        <v>250</v>
      </c>
      <c r="AC57" s="24">
        <v>250</v>
      </c>
      <c r="AF57" s="64"/>
      <c r="AG57" s="33" t="s">
        <v>187</v>
      </c>
      <c r="AH57" s="34">
        <f>AH4*AH8*AH1</f>
        <v>2415</v>
      </c>
      <c r="AI57" s="34">
        <f>AD107+AH57</f>
        <v>20125</v>
      </c>
      <c r="AJ57" s="34">
        <f>AD107-AC107</f>
        <v>13685</v>
      </c>
      <c r="AK57" s="35">
        <f>AI57-AJ57</f>
        <v>6440</v>
      </c>
      <c r="AM57" s="30" t="s">
        <v>191</v>
      </c>
      <c r="AN57" s="31" t="s">
        <v>7</v>
      </c>
      <c r="AO57" s="32" t="s">
        <v>2</v>
      </c>
      <c r="AQ57" s="30" t="s">
        <v>191</v>
      </c>
      <c r="AR57" s="31" t="s">
        <v>9</v>
      </c>
      <c r="AS57" s="32" t="s">
        <v>2</v>
      </c>
      <c r="AU57" s="21" t="s">
        <v>166</v>
      </c>
      <c r="AV57" s="14">
        <v>500</v>
      </c>
      <c r="AW57" s="36">
        <v>2500</v>
      </c>
    </row>
    <row r="58" spans="23:49" ht="15.75" customHeight="1" x14ac:dyDescent="0.2">
      <c r="AA58" s="21" t="s">
        <v>14</v>
      </c>
      <c r="AB58" s="10">
        <v>350</v>
      </c>
      <c r="AC58" s="24">
        <v>350</v>
      </c>
      <c r="AF58" s="64"/>
      <c r="AG58" s="21" t="s">
        <v>188</v>
      </c>
      <c r="AH58" s="14" t="s">
        <v>13</v>
      </c>
      <c r="AI58" s="14">
        <f>AD108</f>
        <v>15525</v>
      </c>
      <c r="AJ58" s="14">
        <f>AI58</f>
        <v>15525</v>
      </c>
      <c r="AK58" s="36">
        <f>AI58-AJ58</f>
        <v>0</v>
      </c>
      <c r="AM58" s="21" t="s">
        <v>193</v>
      </c>
      <c r="AN58" s="14" t="s">
        <v>13</v>
      </c>
      <c r="AO58" s="36">
        <f>AO40</f>
        <v>87500</v>
      </c>
      <c r="AQ58" s="21" t="s">
        <v>193</v>
      </c>
      <c r="AR58" s="14" t="s">
        <v>13</v>
      </c>
      <c r="AS58" s="36">
        <v>87500</v>
      </c>
      <c r="AU58" s="21" t="s">
        <v>375</v>
      </c>
      <c r="AV58" s="14">
        <v>2500</v>
      </c>
      <c r="AW58" s="36">
        <v>2600</v>
      </c>
    </row>
    <row r="59" spans="23:49" ht="15.75" customHeight="1" x14ac:dyDescent="0.2">
      <c r="AA59" s="21" t="s">
        <v>16</v>
      </c>
      <c r="AB59" s="9" t="s">
        <v>13</v>
      </c>
      <c r="AC59" s="23">
        <v>30</v>
      </c>
      <c r="AF59" s="64"/>
      <c r="AG59" s="21" t="s">
        <v>189</v>
      </c>
      <c r="AH59" s="14">
        <f>AH57</f>
        <v>2415</v>
      </c>
      <c r="AI59" s="14">
        <f>AI57-AI58</f>
        <v>4600</v>
      </c>
      <c r="AJ59" s="14">
        <f>AJ57-AJ58</f>
        <v>-1840</v>
      </c>
      <c r="AK59" s="36">
        <f>AJ59</f>
        <v>-1840</v>
      </c>
      <c r="AM59" s="21" t="s">
        <v>194</v>
      </c>
      <c r="AN59" s="14">
        <f>AN41</f>
        <v>22500</v>
      </c>
      <c r="AO59" s="36">
        <f>AO41</f>
        <v>22500</v>
      </c>
      <c r="AQ59" s="21" t="s">
        <v>194</v>
      </c>
      <c r="AR59" s="14">
        <v>45000</v>
      </c>
      <c r="AS59" s="36">
        <v>67500</v>
      </c>
      <c r="AU59" s="21" t="s">
        <v>376</v>
      </c>
      <c r="AV59" s="15" t="s">
        <v>13</v>
      </c>
      <c r="AW59" s="36">
        <v>5000</v>
      </c>
    </row>
    <row r="60" spans="23:49" ht="15.75" customHeight="1" x14ac:dyDescent="0.2">
      <c r="AA60" s="21" t="s">
        <v>19</v>
      </c>
      <c r="AB60" s="9" t="s">
        <v>13</v>
      </c>
      <c r="AC60" s="23">
        <v>240</v>
      </c>
      <c r="AF60" s="71"/>
      <c r="AG60" s="21" t="s">
        <v>190</v>
      </c>
      <c r="AH60" s="14">
        <f>AH57</f>
        <v>2415</v>
      </c>
      <c r="AI60" s="14">
        <f>AI59</f>
        <v>4600</v>
      </c>
      <c r="AJ60" s="14" t="s">
        <v>13</v>
      </c>
      <c r="AK60" s="36">
        <f>AK57+AK59</f>
        <v>4600</v>
      </c>
      <c r="AM60" s="21" t="s">
        <v>195</v>
      </c>
      <c r="AN60" s="14" t="s">
        <v>13</v>
      </c>
      <c r="AO60" s="36">
        <f>AO43</f>
        <v>62500</v>
      </c>
      <c r="AQ60" s="21" t="s">
        <v>195</v>
      </c>
      <c r="AR60" s="14" t="s">
        <v>13</v>
      </c>
      <c r="AS60" s="36">
        <v>62500</v>
      </c>
      <c r="AU60" s="27" t="s">
        <v>377</v>
      </c>
      <c r="AV60" s="40">
        <f>AV50+AV51-AV53-AV54-AV55-AV56-AV57-AV58</f>
        <v>30960.9375</v>
      </c>
      <c r="AW60" s="39">
        <f>AW49+AW50+AW51-AW52-AW53-AW54-AW55-AW56-AW57-AW58-AW59</f>
        <v>78506.25</v>
      </c>
    </row>
    <row r="61" spans="23:49" ht="15.75" customHeight="1" x14ac:dyDescent="0.2">
      <c r="AA61" s="21" t="s">
        <v>22</v>
      </c>
      <c r="AB61" s="9">
        <v>10</v>
      </c>
      <c r="AC61" s="23">
        <v>100</v>
      </c>
      <c r="AF61" s="64"/>
      <c r="AG61" s="27" t="s">
        <v>192</v>
      </c>
      <c r="AH61" s="41" t="s">
        <v>13</v>
      </c>
      <c r="AI61" s="41" t="s">
        <v>13</v>
      </c>
      <c r="AJ61" s="41">
        <f>AJ59</f>
        <v>-1840</v>
      </c>
      <c r="AK61" s="80"/>
      <c r="AM61" s="21" t="s">
        <v>197</v>
      </c>
      <c r="AN61" s="14">
        <f>(AN12+AN13)*AN36</f>
        <v>12928.125</v>
      </c>
      <c r="AO61" s="36">
        <f>AN61</f>
        <v>12928.125</v>
      </c>
      <c r="AQ61" s="21" t="s">
        <v>197</v>
      </c>
      <c r="AR61" s="14">
        <f>(500*AN36) + (2500*AR36)</f>
        <v>24926.5625</v>
      </c>
      <c r="AS61" s="36">
        <f>AR61+AO61</f>
        <v>37854.6875</v>
      </c>
    </row>
    <row r="62" spans="23:49" ht="15.75" customHeight="1" x14ac:dyDescent="0.2">
      <c r="AA62" s="21" t="s">
        <v>25</v>
      </c>
      <c r="AB62" s="9">
        <v>40</v>
      </c>
      <c r="AC62" s="23">
        <v>120</v>
      </c>
      <c r="AF62" s="69"/>
      <c r="AM62" s="21" t="s">
        <v>199</v>
      </c>
      <c r="AN62" s="14">
        <v>500</v>
      </c>
      <c r="AO62" s="36">
        <v>1500</v>
      </c>
      <c r="AQ62" s="21" t="s">
        <v>199</v>
      </c>
      <c r="AR62" s="14">
        <v>500</v>
      </c>
      <c r="AS62" s="36">
        <v>2000</v>
      </c>
      <c r="AU62" s="5" t="s">
        <v>208</v>
      </c>
    </row>
    <row r="63" spans="23:49" ht="15.75" customHeight="1" x14ac:dyDescent="0.2">
      <c r="AA63" s="21" t="s">
        <v>28</v>
      </c>
      <c r="AB63" s="9">
        <v>50</v>
      </c>
      <c r="AC63" s="23">
        <v>50</v>
      </c>
      <c r="AF63" s="69"/>
      <c r="AM63" s="21" t="s">
        <v>383</v>
      </c>
      <c r="AN63" s="14">
        <v>50</v>
      </c>
      <c r="AO63" s="36">
        <v>100</v>
      </c>
      <c r="AQ63" s="21" t="s">
        <v>383</v>
      </c>
      <c r="AR63" s="14" t="s">
        <v>13</v>
      </c>
      <c r="AS63" s="36">
        <v>100</v>
      </c>
      <c r="AU63" s="5" t="s">
        <v>212</v>
      </c>
    </row>
    <row r="64" spans="23:49" ht="15.75" customHeight="1" x14ac:dyDescent="0.2">
      <c r="AA64" s="21" t="s">
        <v>196</v>
      </c>
      <c r="AB64" s="11">
        <v>5000</v>
      </c>
      <c r="AC64" s="25">
        <v>5000</v>
      </c>
      <c r="AM64" s="21" t="s">
        <v>394</v>
      </c>
      <c r="AN64" s="15" t="s">
        <v>13</v>
      </c>
      <c r="AO64" s="36">
        <v>5000</v>
      </c>
      <c r="AQ64" s="21" t="s">
        <v>384</v>
      </c>
      <c r="AR64" s="15" t="s">
        <v>13</v>
      </c>
      <c r="AS64" s="36">
        <v>5000</v>
      </c>
    </row>
    <row r="65" spans="27:49" ht="15.75" customHeight="1" x14ac:dyDescent="0.2">
      <c r="AA65" s="27" t="s">
        <v>198</v>
      </c>
      <c r="AB65" s="28">
        <v>0.12</v>
      </c>
      <c r="AC65" s="29"/>
      <c r="AM65" s="27" t="s">
        <v>385</v>
      </c>
      <c r="AN65" s="40">
        <f>AN59-AN61-AN62-AN63</f>
        <v>9021.875</v>
      </c>
      <c r="AO65" s="39">
        <f>AO58+AO59-AO60-AO61-AO62-AO63-AO64</f>
        <v>27971.875</v>
      </c>
      <c r="AQ65" s="27" t="s">
        <v>385</v>
      </c>
      <c r="AR65" s="40">
        <f>AR59-AR61-AR62</f>
        <v>19573.4375</v>
      </c>
      <c r="AS65" s="39">
        <f>AS58+AS59-AS60-AS61-AS62-AS63-AS64</f>
        <v>47545.3125</v>
      </c>
      <c r="AU65" s="30" t="s">
        <v>191</v>
      </c>
      <c r="AV65" s="31" t="s">
        <v>10</v>
      </c>
      <c r="AW65" s="32" t="s">
        <v>2</v>
      </c>
    </row>
    <row r="66" spans="27:49" ht="15.75" customHeight="1" x14ac:dyDescent="0.2">
      <c r="AU66" s="33" t="s">
        <v>193</v>
      </c>
      <c r="AV66" s="34" t="s">
        <v>13</v>
      </c>
      <c r="AW66" s="35">
        <v>87500</v>
      </c>
    </row>
    <row r="67" spans="27:49" ht="15.75" customHeight="1" x14ac:dyDescent="0.2">
      <c r="AM67" s="5" t="s">
        <v>204</v>
      </c>
      <c r="AQ67" s="5" t="s">
        <v>205</v>
      </c>
      <c r="AU67" s="21" t="s">
        <v>194</v>
      </c>
      <c r="AV67" s="14">
        <v>72000</v>
      </c>
      <c r="AW67" s="36">
        <v>139500</v>
      </c>
    </row>
    <row r="68" spans="27:49" ht="15.75" customHeight="1" x14ac:dyDescent="0.2">
      <c r="AA68" s="5" t="s">
        <v>31</v>
      </c>
      <c r="AU68" s="21" t="s">
        <v>195</v>
      </c>
      <c r="AV68" s="14" t="s">
        <v>13</v>
      </c>
      <c r="AW68" s="36">
        <v>62500</v>
      </c>
    </row>
    <row r="69" spans="27:49" ht="15.75" customHeight="1" x14ac:dyDescent="0.2">
      <c r="AM69" s="30" t="s">
        <v>148</v>
      </c>
      <c r="AN69" s="62" t="s">
        <v>180</v>
      </c>
      <c r="AO69" s="63" t="s">
        <v>7</v>
      </c>
      <c r="AQ69" s="30" t="s">
        <v>53</v>
      </c>
      <c r="AR69" s="31" t="s">
        <v>9</v>
      </c>
      <c r="AS69" s="32" t="s">
        <v>2</v>
      </c>
      <c r="AU69" s="21" t="s">
        <v>197</v>
      </c>
      <c r="AV69" s="14">
        <f>1500*AR36+3000*AV46</f>
        <v>38039.0625</v>
      </c>
      <c r="AW69" s="36">
        <f>AS61+AV69</f>
        <v>75893.75</v>
      </c>
    </row>
    <row r="70" spans="27:49" ht="15.75" customHeight="1" x14ac:dyDescent="0.2">
      <c r="AA70" s="30" t="s">
        <v>203</v>
      </c>
      <c r="AB70" s="31" t="s">
        <v>4</v>
      </c>
      <c r="AC70" s="32" t="s">
        <v>2</v>
      </c>
      <c r="AM70" s="21" t="s">
        <v>206</v>
      </c>
      <c r="AN70" s="14">
        <f>AH49</f>
        <v>6440</v>
      </c>
      <c r="AO70" s="36">
        <f>(AN12+AN13)*AN11*AN1</f>
        <v>5175</v>
      </c>
      <c r="AQ70" s="21" t="s">
        <v>210</v>
      </c>
      <c r="AR70" s="14">
        <f>AN94</f>
        <v>129560</v>
      </c>
      <c r="AS70" s="36">
        <v>5000</v>
      </c>
      <c r="AU70" s="21" t="s">
        <v>199</v>
      </c>
      <c r="AV70" s="14">
        <v>500</v>
      </c>
      <c r="AW70" s="36">
        <v>2500</v>
      </c>
    </row>
    <row r="71" spans="27:49" ht="15.75" customHeight="1" x14ac:dyDescent="0.2">
      <c r="AA71" s="21" t="s">
        <v>37</v>
      </c>
      <c r="AB71" s="14">
        <f>AB15</f>
        <v>17500</v>
      </c>
      <c r="AC71" s="36">
        <f>AC15</f>
        <v>77000</v>
      </c>
      <c r="AM71" s="21" t="s">
        <v>207</v>
      </c>
      <c r="AN71" s="14" t="s">
        <v>13</v>
      </c>
      <c r="AO71" s="36">
        <f>(AN6*AO3*AN1)+(AN17*AO1)+(AN16*AN1)</f>
        <v>37892.5</v>
      </c>
      <c r="AQ71" s="42" t="s">
        <v>64</v>
      </c>
      <c r="AR71" s="14"/>
      <c r="AS71" s="36"/>
      <c r="AU71" s="21" t="s">
        <v>200</v>
      </c>
      <c r="AV71" s="14">
        <v>2500</v>
      </c>
      <c r="AW71" s="36">
        <v>2600</v>
      </c>
    </row>
    <row r="72" spans="27:49" ht="15.75" customHeight="1" x14ac:dyDescent="0.2">
      <c r="AA72" s="21" t="s">
        <v>39</v>
      </c>
      <c r="AB72" s="14">
        <f>AB16</f>
        <v>12500</v>
      </c>
      <c r="AC72" s="36">
        <f>AC16</f>
        <v>55000</v>
      </c>
      <c r="AM72" s="21" t="s">
        <v>209</v>
      </c>
      <c r="AN72" s="14">
        <f>AJ59</f>
        <v>-1840</v>
      </c>
      <c r="AO72" s="36">
        <f>AO70-AO71</f>
        <v>-32717.5</v>
      </c>
      <c r="AQ72" s="21" t="s">
        <v>213</v>
      </c>
      <c r="AR72" s="14" t="s">
        <v>13</v>
      </c>
      <c r="AS72" s="36">
        <v>50000</v>
      </c>
      <c r="AU72" s="21" t="s">
        <v>201</v>
      </c>
      <c r="AV72" s="15" t="s">
        <v>13</v>
      </c>
      <c r="AW72" s="36">
        <v>5000</v>
      </c>
    </row>
    <row r="73" spans="27:49" ht="15.75" customHeight="1" x14ac:dyDescent="0.2">
      <c r="AA73" s="21" t="s">
        <v>49</v>
      </c>
      <c r="AB73" s="14">
        <f>AB17</f>
        <v>500</v>
      </c>
      <c r="AC73" s="36">
        <f>AC17</f>
        <v>1000</v>
      </c>
      <c r="AM73" s="27" t="s">
        <v>211</v>
      </c>
      <c r="AN73" s="41">
        <f>AN70+AN72</f>
        <v>4600</v>
      </c>
      <c r="AO73" s="39">
        <f>AO72</f>
        <v>-32717.5</v>
      </c>
      <c r="AQ73" s="21" t="s">
        <v>214</v>
      </c>
      <c r="AR73" s="14">
        <f>AR12*AR13*(1+AR1)</f>
        <v>36900</v>
      </c>
      <c r="AS73" s="36">
        <f>AR73+AO82</f>
        <v>98400</v>
      </c>
      <c r="AU73" s="27" t="s">
        <v>202</v>
      </c>
      <c r="AV73" s="40">
        <f>AV67-AV69-AV70-AV71</f>
        <v>30960.9375</v>
      </c>
      <c r="AW73" s="39">
        <f>AW66+AW67-AW68-AW69-AW70-AW71-AW72</f>
        <v>78506.25</v>
      </c>
    </row>
    <row r="74" spans="27:49" ht="15.75" customHeight="1" x14ac:dyDescent="0.2">
      <c r="AA74" s="27" t="s">
        <v>45</v>
      </c>
      <c r="AB74" s="40">
        <f>AB18</f>
        <v>4500</v>
      </c>
      <c r="AC74" s="39">
        <f>AC18</f>
        <v>21000</v>
      </c>
      <c r="AQ74" s="21" t="s">
        <v>216</v>
      </c>
      <c r="AR74" s="14">
        <f>AN103</f>
        <v>9225</v>
      </c>
      <c r="AS74" s="36">
        <f>AR74+AO83</f>
        <v>52275</v>
      </c>
    </row>
    <row r="75" spans="27:49" ht="15.75" customHeight="1" x14ac:dyDescent="0.2">
      <c r="AA75" s="50"/>
      <c r="AM75" s="5" t="s">
        <v>215</v>
      </c>
      <c r="AQ75" s="21" t="s">
        <v>217</v>
      </c>
      <c r="AR75" s="14" t="s">
        <v>13</v>
      </c>
      <c r="AS75" s="36">
        <v>105000</v>
      </c>
      <c r="AU75" s="5" t="s">
        <v>239</v>
      </c>
    </row>
    <row r="76" spans="27:49" ht="15.75" customHeight="1" x14ac:dyDescent="0.2">
      <c r="AM76" s="5" t="s">
        <v>219</v>
      </c>
      <c r="AQ76" s="42" t="s">
        <v>68</v>
      </c>
      <c r="AR76" s="14"/>
      <c r="AS76" s="36"/>
    </row>
    <row r="77" spans="27:49" ht="15.75" customHeight="1" x14ac:dyDescent="0.2">
      <c r="AA77" s="30" t="s">
        <v>53</v>
      </c>
      <c r="AB77" s="31" t="s">
        <v>4</v>
      </c>
      <c r="AC77" s="32" t="s">
        <v>2</v>
      </c>
      <c r="AQ77" s="21" t="s">
        <v>220</v>
      </c>
      <c r="AR77" s="14" t="s">
        <v>13</v>
      </c>
      <c r="AS77" s="36">
        <f>AO86</f>
        <v>9225</v>
      </c>
      <c r="AU77" s="30" t="s">
        <v>51</v>
      </c>
      <c r="AV77" s="31" t="s">
        <v>180</v>
      </c>
      <c r="AW77" s="32" t="s">
        <v>10</v>
      </c>
    </row>
    <row r="78" spans="27:49" ht="15.75" customHeight="1" x14ac:dyDescent="0.2">
      <c r="AA78" s="33" t="s">
        <v>60</v>
      </c>
      <c r="AB78" s="34">
        <f>AB23</f>
        <v>27870</v>
      </c>
      <c r="AC78" s="35">
        <f>AC23</f>
        <v>5000</v>
      </c>
      <c r="AM78" s="30" t="s">
        <v>53</v>
      </c>
      <c r="AN78" s="31" t="s">
        <v>7</v>
      </c>
      <c r="AO78" s="32" t="s">
        <v>2</v>
      </c>
      <c r="AQ78" s="21" t="s">
        <v>222</v>
      </c>
      <c r="AR78" s="14">
        <f>AN114</f>
        <v>15375</v>
      </c>
      <c r="AS78" s="36">
        <f>AR78+AO87</f>
        <v>61500</v>
      </c>
      <c r="AU78" s="21" t="s">
        <v>206</v>
      </c>
      <c r="AV78" s="14" t="s">
        <v>13</v>
      </c>
      <c r="AW78" s="36">
        <f>(AV13+AV14)*AV12*AV1</f>
        <v>16560</v>
      </c>
    </row>
    <row r="79" spans="27:49" ht="15.75" customHeight="1" x14ac:dyDescent="0.2">
      <c r="AA79" s="42" t="s">
        <v>64</v>
      </c>
      <c r="AB79" s="14"/>
      <c r="AC79" s="36"/>
      <c r="AM79" s="21" t="s">
        <v>228</v>
      </c>
      <c r="AN79" s="14">
        <f>AH35</f>
        <v>20635</v>
      </c>
      <c r="AO79" s="36">
        <v>5000</v>
      </c>
      <c r="AQ79" s="21" t="s">
        <v>224</v>
      </c>
      <c r="AR79" s="14" t="s">
        <v>13</v>
      </c>
      <c r="AS79" s="36">
        <f>AO88</f>
        <v>4600</v>
      </c>
      <c r="AU79" s="21" t="s">
        <v>207</v>
      </c>
      <c r="AV79" s="14" t="s">
        <v>13</v>
      </c>
      <c r="AW79" s="36">
        <f>AV7*AV3*AV1+AV18*AW1</f>
        <v>4025</v>
      </c>
    </row>
    <row r="80" spans="27:49" ht="15.75" customHeight="1" x14ac:dyDescent="0.2">
      <c r="AA80" s="21" t="s">
        <v>66</v>
      </c>
      <c r="AB80" s="14">
        <f>AB25</f>
        <v>4305</v>
      </c>
      <c r="AC80" s="36">
        <f>AC25</f>
        <v>43050</v>
      </c>
      <c r="AM80" s="42" t="s">
        <v>64</v>
      </c>
      <c r="AN80" s="14"/>
      <c r="AO80" s="36"/>
      <c r="AQ80" s="21" t="s">
        <v>226</v>
      </c>
      <c r="AR80" s="14">
        <f>AN89</f>
        <v>790</v>
      </c>
      <c r="AS80" s="36">
        <f>AR80+AO89</f>
        <v>1580</v>
      </c>
      <c r="AU80" s="21" t="s">
        <v>209</v>
      </c>
      <c r="AV80" s="14">
        <f>AS128</f>
        <v>-32372.5</v>
      </c>
      <c r="AW80" s="36">
        <f>AV80</f>
        <v>-32372.5</v>
      </c>
    </row>
    <row r="81" spans="27:49" ht="15.75" customHeight="1" x14ac:dyDescent="0.2">
      <c r="AA81" s="21" t="s">
        <v>74</v>
      </c>
      <c r="AB81" s="14">
        <f>AB26</f>
        <v>12915</v>
      </c>
      <c r="AC81" s="36">
        <f>AC26</f>
        <v>12915</v>
      </c>
      <c r="AM81" s="21" t="s">
        <v>231</v>
      </c>
      <c r="AN81" s="14">
        <v>50000</v>
      </c>
      <c r="AO81" s="36">
        <v>50000</v>
      </c>
      <c r="AQ81" s="21" t="s">
        <v>229</v>
      </c>
      <c r="AR81" s="14">
        <v>500</v>
      </c>
      <c r="AS81" s="36">
        <v>2000</v>
      </c>
      <c r="AU81" s="27" t="s">
        <v>253</v>
      </c>
      <c r="AV81" s="41">
        <f>AV80</f>
        <v>-32372.5</v>
      </c>
      <c r="AW81" s="39">
        <f>AW80+AW78-AW79</f>
        <v>-19837.5</v>
      </c>
    </row>
    <row r="82" spans="27:49" ht="15.75" customHeight="1" x14ac:dyDescent="0.2">
      <c r="AA82" s="21" t="s">
        <v>218</v>
      </c>
      <c r="AB82" s="14">
        <v>5000</v>
      </c>
      <c r="AC82" s="36">
        <v>5000</v>
      </c>
      <c r="AM82" s="21" t="s">
        <v>233</v>
      </c>
      <c r="AN82" s="14">
        <f>AN12*AN11*(1+AN1)</f>
        <v>18450</v>
      </c>
      <c r="AO82" s="36">
        <f>AI27+AN82</f>
        <v>61500</v>
      </c>
      <c r="AQ82" s="21" t="s">
        <v>230</v>
      </c>
      <c r="AR82" s="14" t="s">
        <v>13</v>
      </c>
      <c r="AS82" s="36">
        <v>5000</v>
      </c>
    </row>
    <row r="83" spans="27:49" ht="15.75" customHeight="1" x14ac:dyDescent="0.2">
      <c r="AA83" s="42" t="s">
        <v>68</v>
      </c>
      <c r="AB83" s="14"/>
      <c r="AC83" s="36"/>
      <c r="AM83" s="21" t="s">
        <v>235</v>
      </c>
      <c r="AN83" s="14">
        <f>AH41</f>
        <v>12915</v>
      </c>
      <c r="AO83" s="36">
        <f>AI28+AN83</f>
        <v>43050</v>
      </c>
      <c r="AQ83" s="21" t="s">
        <v>232</v>
      </c>
      <c r="AR83" s="14" t="s">
        <v>13</v>
      </c>
      <c r="AS83" s="36">
        <v>100</v>
      </c>
      <c r="AU83" s="5" t="s">
        <v>262</v>
      </c>
    </row>
    <row r="84" spans="27:49" ht="15.75" customHeight="1" x14ac:dyDescent="0.2">
      <c r="AA84" s="21" t="s">
        <v>221</v>
      </c>
      <c r="AB84" s="14" t="s">
        <v>13</v>
      </c>
      <c r="AC84" s="36">
        <f>AC28</f>
        <v>9225</v>
      </c>
      <c r="AM84" s="21" t="s">
        <v>237</v>
      </c>
      <c r="AN84" s="14">
        <v>100000</v>
      </c>
      <c r="AO84" s="36">
        <v>105000</v>
      </c>
      <c r="AQ84" s="21" t="s">
        <v>234</v>
      </c>
      <c r="AR84" s="14" t="s">
        <v>13</v>
      </c>
      <c r="AS84" s="36">
        <f>AO93</f>
        <v>61500</v>
      </c>
      <c r="AU84" s="5" t="s">
        <v>265</v>
      </c>
    </row>
    <row r="85" spans="27:49" ht="15.75" customHeight="1" x14ac:dyDescent="0.2">
      <c r="AA85" s="21" t="s">
        <v>223</v>
      </c>
      <c r="AB85" s="14">
        <f>AB29</f>
        <v>500</v>
      </c>
      <c r="AC85" s="36">
        <f>AC29</f>
        <v>1000</v>
      </c>
      <c r="AM85" s="42" t="s">
        <v>68</v>
      </c>
      <c r="AN85" s="14"/>
      <c r="AO85" s="36"/>
      <c r="AQ85" s="21" t="s">
        <v>236</v>
      </c>
      <c r="AR85" s="14">
        <f>AN112</f>
        <v>347.5</v>
      </c>
      <c r="AS85" s="36">
        <f>AR85</f>
        <v>347.5</v>
      </c>
    </row>
    <row r="86" spans="27:49" ht="15.75" customHeight="1" x14ac:dyDescent="0.2">
      <c r="AA86" s="21" t="s">
        <v>225</v>
      </c>
      <c r="AB86" s="14">
        <f>AB30</f>
        <v>46125</v>
      </c>
      <c r="AC86" s="36">
        <f>AC30</f>
        <v>46125</v>
      </c>
      <c r="AM86" s="21" t="s">
        <v>243</v>
      </c>
      <c r="AN86" s="14" t="s">
        <v>13</v>
      </c>
      <c r="AO86" s="36">
        <f>AI31</f>
        <v>9225</v>
      </c>
      <c r="AQ86" s="21" t="s">
        <v>238</v>
      </c>
      <c r="AR86" s="14">
        <f>AN113</f>
        <v>100</v>
      </c>
      <c r="AS86" s="36">
        <f>AR86</f>
        <v>100</v>
      </c>
      <c r="AU86" s="30" t="s">
        <v>53</v>
      </c>
      <c r="AV86" s="31" t="s">
        <v>10</v>
      </c>
      <c r="AW86" s="32" t="s">
        <v>2</v>
      </c>
    </row>
    <row r="87" spans="27:49" ht="15.75" customHeight="1" x14ac:dyDescent="0.2">
      <c r="AA87" s="27" t="s">
        <v>227</v>
      </c>
      <c r="AB87" s="40">
        <f>AB78+AB80+AB81+AB82-AB85-AB86</f>
        <v>3465</v>
      </c>
      <c r="AC87" s="39">
        <f>AC78+AC80+AC81+AC82-AC84-AC85-AC86</f>
        <v>9615</v>
      </c>
      <c r="AM87" s="21" t="s">
        <v>245</v>
      </c>
      <c r="AN87" s="14" t="s">
        <v>13</v>
      </c>
      <c r="AO87" s="36">
        <f>AI33</f>
        <v>46125</v>
      </c>
      <c r="AQ87" s="21" t="s">
        <v>241</v>
      </c>
      <c r="AR87" s="14">
        <f>AN115</f>
        <v>2767.5</v>
      </c>
      <c r="AS87" s="36">
        <f>AR87</f>
        <v>2767.5</v>
      </c>
      <c r="AU87" s="33" t="s">
        <v>228</v>
      </c>
      <c r="AV87" s="34">
        <f>AS88</f>
        <v>161955</v>
      </c>
      <c r="AW87" s="35">
        <v>5000</v>
      </c>
    </row>
    <row r="88" spans="27:49" ht="15.75" customHeight="1" x14ac:dyDescent="0.2">
      <c r="AA88" s="50"/>
      <c r="AM88" s="21" t="s">
        <v>247</v>
      </c>
      <c r="AN88" s="14">
        <f>AN73</f>
        <v>4600</v>
      </c>
      <c r="AO88" s="36">
        <f>AN88</f>
        <v>4600</v>
      </c>
      <c r="AQ88" s="27" t="s">
        <v>244</v>
      </c>
      <c r="AR88" s="40">
        <f>AR70+AR73+AR74-AR78-AR80-AR81-AR85-AR86-AR87</f>
        <v>155805</v>
      </c>
      <c r="AS88" s="39">
        <f>AS70+AS72+AS73+AS74+AS75-AS77-AS78-AS79-AS80-AS81-AS82-AS83-AS84-AS85-AS86-AS87</f>
        <v>161955</v>
      </c>
      <c r="AU88" s="42" t="s">
        <v>64</v>
      </c>
      <c r="AV88" s="14"/>
      <c r="AW88" s="36"/>
    </row>
    <row r="89" spans="27:49" ht="15.75" customHeight="1" x14ac:dyDescent="0.2">
      <c r="AM89" s="21" t="s">
        <v>248</v>
      </c>
      <c r="AN89" s="14">
        <f>AN19-AN21*AN19-0.11*AN19</f>
        <v>790</v>
      </c>
      <c r="AO89" s="36">
        <f>AN89</f>
        <v>790</v>
      </c>
      <c r="AU89" s="21" t="s">
        <v>275</v>
      </c>
      <c r="AV89" s="14" t="s">
        <v>13</v>
      </c>
      <c r="AW89" s="36">
        <v>50000</v>
      </c>
    </row>
    <row r="90" spans="27:49" ht="15.75" customHeight="1" x14ac:dyDescent="0.2">
      <c r="AA90" s="46" t="s">
        <v>97</v>
      </c>
      <c r="AB90" s="47"/>
      <c r="AM90" s="21" t="s">
        <v>249</v>
      </c>
      <c r="AN90" s="14">
        <v>500</v>
      </c>
      <c r="AO90" s="36">
        <v>1500</v>
      </c>
      <c r="AQ90" s="30" t="s">
        <v>97</v>
      </c>
      <c r="AR90" s="32"/>
      <c r="AU90" s="21" t="s">
        <v>277</v>
      </c>
      <c r="AV90" s="14">
        <f>AV13*AV12*(1+AV1)</f>
        <v>19680</v>
      </c>
      <c r="AW90" s="36">
        <f>AS73+AV90</f>
        <v>118080</v>
      </c>
    </row>
    <row r="91" spans="27:49" ht="15.75" customHeight="1" x14ac:dyDescent="0.2">
      <c r="AA91" s="43" t="s">
        <v>101</v>
      </c>
      <c r="AB91" s="23"/>
      <c r="AM91" s="21" t="s">
        <v>250</v>
      </c>
      <c r="AN91" s="14">
        <v>5000</v>
      </c>
      <c r="AO91" s="36">
        <v>5000</v>
      </c>
      <c r="AQ91" s="43" t="s">
        <v>90</v>
      </c>
      <c r="AR91" s="23"/>
      <c r="AU91" s="21" t="s">
        <v>279</v>
      </c>
      <c r="AV91" s="14">
        <f>AR97</f>
        <v>18450</v>
      </c>
      <c r="AW91" s="36">
        <f>AS74+AV91</f>
        <v>70725</v>
      </c>
    </row>
    <row r="92" spans="27:49" ht="15.75" customHeight="1" x14ac:dyDescent="0.2">
      <c r="AA92" s="21" t="s">
        <v>409</v>
      </c>
      <c r="AB92" s="36">
        <f>AB36</f>
        <v>12500</v>
      </c>
      <c r="AM92" s="21" t="s">
        <v>251</v>
      </c>
      <c r="AN92" s="14">
        <v>50</v>
      </c>
      <c r="AO92" s="36">
        <v>100</v>
      </c>
      <c r="AQ92" s="21" t="s">
        <v>378</v>
      </c>
      <c r="AR92" s="36">
        <v>150000</v>
      </c>
      <c r="AU92" s="21" t="s">
        <v>281</v>
      </c>
      <c r="AV92" s="14" t="s">
        <v>13</v>
      </c>
      <c r="AW92" s="36">
        <v>105000</v>
      </c>
    </row>
    <row r="93" spans="27:49" ht="15.75" customHeight="1" x14ac:dyDescent="0.2">
      <c r="AA93" s="21" t="s">
        <v>240</v>
      </c>
      <c r="AB93" s="36">
        <f>AB37</f>
        <v>17220</v>
      </c>
      <c r="AM93" s="21" t="s">
        <v>255</v>
      </c>
      <c r="AN93" s="14">
        <f>50000*(1+AN1)</f>
        <v>61500</v>
      </c>
      <c r="AO93" s="36">
        <f>AN93</f>
        <v>61500</v>
      </c>
      <c r="AQ93" s="21" t="s">
        <v>252</v>
      </c>
      <c r="AR93" s="36">
        <v>-2500</v>
      </c>
      <c r="AU93" s="42" t="s">
        <v>68</v>
      </c>
      <c r="AV93" s="14"/>
      <c r="AW93" s="36"/>
    </row>
    <row r="94" spans="27:49" ht="15.75" customHeight="1" x14ac:dyDescent="0.2">
      <c r="AA94" s="21" t="s">
        <v>242</v>
      </c>
      <c r="AB94" s="36">
        <f>AB38</f>
        <v>15525</v>
      </c>
      <c r="AM94" s="27" t="s">
        <v>258</v>
      </c>
      <c r="AN94" s="40">
        <f>AN79+AN81+AN82+AN83+AN84-AN88-AN89-AN90-AN91-AN92-AN93</f>
        <v>129560</v>
      </c>
      <c r="AO94" s="39">
        <f>AO79+AO81+AO82+AO83+AO84-AO86-AO87-AO88-AO89-AO90-AO91-AO92-AO93</f>
        <v>135710</v>
      </c>
      <c r="AQ94" s="21" t="s">
        <v>256</v>
      </c>
      <c r="AR94" s="36">
        <v>147500</v>
      </c>
      <c r="AU94" s="21" t="s">
        <v>243</v>
      </c>
      <c r="AV94" s="14" t="s">
        <v>13</v>
      </c>
      <c r="AW94" s="36">
        <f>AS77</f>
        <v>9225</v>
      </c>
    </row>
    <row r="95" spans="27:49" ht="15.75" customHeight="1" x14ac:dyDescent="0.2">
      <c r="AA95" s="21" t="s">
        <v>408</v>
      </c>
      <c r="AB95" s="36">
        <f>AB87</f>
        <v>3465</v>
      </c>
      <c r="AM95" s="50"/>
      <c r="AQ95" s="21" t="s">
        <v>259</v>
      </c>
      <c r="AR95" s="36">
        <f>AS42</f>
        <v>12370.312499999998</v>
      </c>
      <c r="AU95" s="21" t="s">
        <v>283</v>
      </c>
      <c r="AV95" s="14">
        <f>AR108</f>
        <v>47970</v>
      </c>
      <c r="AW95" s="36">
        <f>AS78+AV95</f>
        <v>109470</v>
      </c>
    </row>
    <row r="96" spans="27:49" ht="15.75" customHeight="1" x14ac:dyDescent="0.2">
      <c r="AA96" s="21" t="s">
        <v>246</v>
      </c>
      <c r="AB96" s="37">
        <f>AB92+AB93+AB94+AB95</f>
        <v>48710</v>
      </c>
      <c r="AQ96" s="21" t="s">
        <v>261</v>
      </c>
      <c r="AR96" s="36">
        <f>AR7*AR3</f>
        <v>13000</v>
      </c>
      <c r="AU96" s="21" t="s">
        <v>247</v>
      </c>
      <c r="AV96" s="14" t="s">
        <v>13</v>
      </c>
      <c r="AW96" s="36">
        <f>AS79</f>
        <v>4600</v>
      </c>
    </row>
    <row r="97" spans="26:49" ht="15.75" customHeight="1" x14ac:dyDescent="0.2">
      <c r="AA97" s="43" t="s">
        <v>114</v>
      </c>
      <c r="AB97" s="36"/>
      <c r="AM97" s="30" t="s">
        <v>97</v>
      </c>
      <c r="AN97" s="32"/>
      <c r="AQ97" s="21" t="s">
        <v>263</v>
      </c>
      <c r="AR97" s="36">
        <f>AR14*AR12*(1+AR1)</f>
        <v>18450</v>
      </c>
      <c r="AU97" s="21" t="s">
        <v>248</v>
      </c>
      <c r="AV97" s="14">
        <f>2*AR80</f>
        <v>1580</v>
      </c>
      <c r="AW97" s="36">
        <f>AS80+AV97</f>
        <v>3160</v>
      </c>
    </row>
    <row r="98" spans="26:49" ht="15.75" customHeight="1" x14ac:dyDescent="0.2">
      <c r="AA98" s="21" t="s">
        <v>405</v>
      </c>
      <c r="AB98" s="36">
        <v>5000</v>
      </c>
      <c r="AM98" s="43" t="s">
        <v>90</v>
      </c>
      <c r="AN98" s="23"/>
      <c r="AQ98" s="21" t="s">
        <v>264</v>
      </c>
      <c r="AR98" s="36">
        <f>-AS128+AS125</f>
        <v>42722.5</v>
      </c>
      <c r="AU98" s="21" t="s">
        <v>249</v>
      </c>
      <c r="AV98" s="14">
        <v>500</v>
      </c>
      <c r="AW98" s="36">
        <v>2500</v>
      </c>
    </row>
    <row r="99" spans="26:49" ht="15.75" customHeight="1" x14ac:dyDescent="0.2">
      <c r="AA99" s="21" t="s">
        <v>406</v>
      </c>
      <c r="AB99" s="36">
        <v>21000</v>
      </c>
      <c r="AM99" s="21" t="s">
        <v>393</v>
      </c>
      <c r="AN99" s="36">
        <f>AN16</f>
        <v>150000</v>
      </c>
      <c r="AQ99" s="21" t="s">
        <v>379</v>
      </c>
      <c r="AR99" s="36">
        <f>AR88</f>
        <v>155805</v>
      </c>
      <c r="AU99" s="21" t="s">
        <v>250</v>
      </c>
      <c r="AV99" s="14">
        <v>12500</v>
      </c>
      <c r="AW99" s="36">
        <v>17500</v>
      </c>
    </row>
    <row r="100" spans="26:49" ht="15.75" customHeight="1" x14ac:dyDescent="0.2">
      <c r="AA100" s="21" t="s">
        <v>407</v>
      </c>
      <c r="AB100" s="36">
        <v>5000</v>
      </c>
      <c r="AM100" s="21" t="s">
        <v>269</v>
      </c>
      <c r="AN100" s="36">
        <f>-AN18</f>
        <v>-1250</v>
      </c>
      <c r="AQ100" s="21" t="s">
        <v>267</v>
      </c>
      <c r="AR100" s="37">
        <f>AR94+AR95+AR96+AR97+AR98+AR99</f>
        <v>389847.8125</v>
      </c>
      <c r="AU100" s="21" t="s">
        <v>251</v>
      </c>
      <c r="AV100" s="14">
        <v>2500</v>
      </c>
      <c r="AW100" s="36">
        <v>2600</v>
      </c>
    </row>
    <row r="101" spans="26:49" ht="15.75" customHeight="1" x14ac:dyDescent="0.2">
      <c r="AA101" s="21" t="s">
        <v>254</v>
      </c>
      <c r="AB101" s="36" t="s">
        <v>13</v>
      </c>
      <c r="AM101" s="21" t="s">
        <v>392</v>
      </c>
      <c r="AN101" s="36">
        <v>148750</v>
      </c>
      <c r="AQ101" s="43" t="s">
        <v>114</v>
      </c>
      <c r="AR101" s="36"/>
      <c r="AU101" s="21" t="s">
        <v>286</v>
      </c>
      <c r="AV101" s="14" t="s">
        <v>13</v>
      </c>
      <c r="AW101" s="36">
        <f>AS84</f>
        <v>61500</v>
      </c>
    </row>
    <row r="102" spans="26:49" ht="15.75" customHeight="1" x14ac:dyDescent="0.2">
      <c r="AA102" s="21" t="s">
        <v>257</v>
      </c>
      <c r="AB102" s="36">
        <f>AD107</f>
        <v>17710</v>
      </c>
      <c r="AM102" s="21" t="s">
        <v>272</v>
      </c>
      <c r="AN102" s="36">
        <f>AN42</f>
        <v>4309.375</v>
      </c>
      <c r="AQ102" s="21" t="s">
        <v>390</v>
      </c>
      <c r="AR102" s="36">
        <v>55000</v>
      </c>
      <c r="AU102" s="21" t="s">
        <v>287</v>
      </c>
      <c r="AV102" s="14">
        <f>AR106</f>
        <v>347.5</v>
      </c>
      <c r="AW102" s="36">
        <f>AS85+AV102</f>
        <v>695</v>
      </c>
    </row>
    <row r="103" spans="26:49" ht="15.75" customHeight="1" x14ac:dyDescent="0.2">
      <c r="AA103" s="27" t="s">
        <v>260</v>
      </c>
      <c r="AB103" s="39">
        <f>AB98+AB99+AB100+AB102</f>
        <v>48710</v>
      </c>
      <c r="AM103" s="21" t="s">
        <v>263</v>
      </c>
      <c r="AN103" s="36">
        <f>AN13*AN11*(1+AN1)</f>
        <v>9225</v>
      </c>
      <c r="AQ103" s="21" t="s">
        <v>380</v>
      </c>
      <c r="AR103" s="36">
        <f>AS51</f>
        <v>47545.3125</v>
      </c>
      <c r="AU103" s="21" t="s">
        <v>288</v>
      </c>
      <c r="AV103" s="14">
        <f>AR107</f>
        <v>100</v>
      </c>
      <c r="AW103" s="36">
        <f>AS86+AV103</f>
        <v>200</v>
      </c>
    </row>
    <row r="104" spans="26:49" ht="15.75" customHeight="1" x14ac:dyDescent="0.2">
      <c r="AA104" s="68"/>
      <c r="AM104" s="21" t="s">
        <v>264</v>
      </c>
      <c r="AN104" s="36">
        <f>AO71</f>
        <v>37892.5</v>
      </c>
      <c r="AQ104" s="21" t="s">
        <v>273</v>
      </c>
      <c r="AR104" s="36">
        <f>AN110</f>
        <v>123000</v>
      </c>
      <c r="AU104" s="21" t="s">
        <v>289</v>
      </c>
      <c r="AV104" s="14">
        <f>AR109</f>
        <v>5535</v>
      </c>
      <c r="AW104" s="36">
        <f>AS87+AV104</f>
        <v>8302.5</v>
      </c>
    </row>
    <row r="105" spans="26:49" ht="15.75" customHeight="1" x14ac:dyDescent="0.2">
      <c r="AM105" s="21" t="s">
        <v>379</v>
      </c>
      <c r="AN105" s="36">
        <f>AN94</f>
        <v>129560</v>
      </c>
      <c r="AQ105" s="21" t="s">
        <v>274</v>
      </c>
      <c r="AR105" s="36">
        <f>AS125</f>
        <v>10350</v>
      </c>
      <c r="AU105" s="27" t="s">
        <v>290</v>
      </c>
      <c r="AV105" s="40">
        <f>SUM(AV87:AV92)-SUM(AV94:AV104)</f>
        <v>129052.5</v>
      </c>
      <c r="AW105" s="39">
        <f>SUM(AW87:AW92)-SUM(AW94:AW104)</f>
        <v>129052.5</v>
      </c>
    </row>
    <row r="106" spans="26:49" ht="15.75" customHeight="1" x14ac:dyDescent="0.2">
      <c r="Z106" s="81"/>
      <c r="AA106" s="30" t="s">
        <v>148</v>
      </c>
      <c r="AB106" s="88" t="s">
        <v>4</v>
      </c>
      <c r="AC106" s="88"/>
      <c r="AD106" s="32" t="s">
        <v>2</v>
      </c>
      <c r="AM106" s="21" t="s">
        <v>267</v>
      </c>
      <c r="AN106" s="37">
        <f>AN101+AN102+AN103+AN104+AN105</f>
        <v>329736.875</v>
      </c>
      <c r="AQ106" s="21" t="s">
        <v>276</v>
      </c>
      <c r="AR106" s="36">
        <f>AN112</f>
        <v>347.5</v>
      </c>
    </row>
    <row r="107" spans="26:49" ht="15.75" customHeight="1" x14ac:dyDescent="0.2">
      <c r="Z107" s="64"/>
      <c r="AA107" s="83" t="s">
        <v>266</v>
      </c>
      <c r="AB107" s="84"/>
      <c r="AC107" s="34">
        <f>AB50</f>
        <v>4025</v>
      </c>
      <c r="AD107" s="35">
        <f t="shared" ref="AD107:AD110" si="0">AC50</f>
        <v>17710</v>
      </c>
      <c r="AM107" s="43" t="s">
        <v>114</v>
      </c>
      <c r="AN107" s="36"/>
      <c r="AQ107" s="21" t="s">
        <v>278</v>
      </c>
      <c r="AR107" s="36">
        <f>AN113</f>
        <v>100</v>
      </c>
      <c r="AU107" s="5" t="s">
        <v>292</v>
      </c>
    </row>
    <row r="108" spans="26:49" ht="15.75" customHeight="1" x14ac:dyDescent="0.2">
      <c r="Z108" s="64"/>
      <c r="AA108" s="85" t="s">
        <v>268</v>
      </c>
      <c r="AB108" s="82"/>
      <c r="AC108" s="14" t="str">
        <f t="shared" ref="AC108:AC110" si="1">AB51</f>
        <v>-----</v>
      </c>
      <c r="AD108" s="36">
        <f t="shared" si="0"/>
        <v>15525</v>
      </c>
      <c r="AM108" s="21" t="s">
        <v>390</v>
      </c>
      <c r="AN108" s="36">
        <v>55000</v>
      </c>
      <c r="AQ108" s="21" t="s">
        <v>280</v>
      </c>
      <c r="AR108" s="36">
        <f>(AR6+AR7)*AR3*(1+AR1)</f>
        <v>47970</v>
      </c>
    </row>
    <row r="109" spans="26:49" ht="15.75" customHeight="1" x14ac:dyDescent="0.2">
      <c r="Z109" s="64"/>
      <c r="AA109" s="85" t="s">
        <v>270</v>
      </c>
      <c r="AB109" s="82"/>
      <c r="AC109" s="14">
        <f t="shared" si="1"/>
        <v>4025</v>
      </c>
      <c r="AD109" s="36">
        <f t="shared" si="0"/>
        <v>2185</v>
      </c>
      <c r="AM109" s="21" t="s">
        <v>389</v>
      </c>
      <c r="AN109" s="36">
        <f>AO51</f>
        <v>27971.875</v>
      </c>
      <c r="AQ109" s="21" t="s">
        <v>381</v>
      </c>
      <c r="AR109" s="36">
        <f>AR18*(1+AS1)</f>
        <v>5535</v>
      </c>
      <c r="AU109" s="30" t="s">
        <v>97</v>
      </c>
      <c r="AV109" s="32"/>
    </row>
    <row r="110" spans="26:49" ht="15.75" customHeight="1" x14ac:dyDescent="0.2">
      <c r="Z110" s="64"/>
      <c r="AA110" s="86" t="s">
        <v>271</v>
      </c>
      <c r="AB110" s="87"/>
      <c r="AC110" s="41">
        <f t="shared" si="1"/>
        <v>4025</v>
      </c>
      <c r="AD110" s="80">
        <f t="shared" si="0"/>
        <v>2185</v>
      </c>
      <c r="AM110" s="21" t="s">
        <v>273</v>
      </c>
      <c r="AN110" s="36">
        <f>100000*(1+AN1)</f>
        <v>123000</v>
      </c>
      <c r="AQ110" s="21" t="s">
        <v>382</v>
      </c>
      <c r="AR110" s="36">
        <v>100000</v>
      </c>
      <c r="AU110" s="43" t="s">
        <v>90</v>
      </c>
      <c r="AV110" s="23"/>
    </row>
    <row r="111" spans="26:49" ht="15.75" customHeight="1" x14ac:dyDescent="0.2">
      <c r="AM111" s="21" t="s">
        <v>274</v>
      </c>
      <c r="AN111" s="36">
        <f>AO70</f>
        <v>5175</v>
      </c>
      <c r="AQ111" s="27" t="s">
        <v>282</v>
      </c>
      <c r="AR111" s="39">
        <f>AR102+AR103+AR104+AR105+AR106+AR107+AR108+AR109+AR110</f>
        <v>389847.8125</v>
      </c>
      <c r="AU111" s="21" t="s">
        <v>296</v>
      </c>
      <c r="AV111" s="36">
        <v>150000</v>
      </c>
    </row>
    <row r="112" spans="26:49" ht="15.75" customHeight="1" x14ac:dyDescent="0.2">
      <c r="AM112" s="21" t="s">
        <v>276</v>
      </c>
      <c r="AN112" s="36">
        <f>AN20+0.11*AN19</f>
        <v>347.5</v>
      </c>
      <c r="AU112" s="21" t="s">
        <v>297</v>
      </c>
      <c r="AV112" s="36">
        <f>-AW19</f>
        <v>-3750</v>
      </c>
    </row>
    <row r="113" spans="39:48" ht="15.75" customHeight="1" x14ac:dyDescent="0.2">
      <c r="AM113" s="21" t="s">
        <v>278</v>
      </c>
      <c r="AN113" s="36">
        <f>AN19*AN21</f>
        <v>100</v>
      </c>
      <c r="AQ113" s="5" t="s">
        <v>284</v>
      </c>
      <c r="AU113" s="21" t="s">
        <v>299</v>
      </c>
      <c r="AV113" s="36">
        <f>AV111+AV112</f>
        <v>146250</v>
      </c>
    </row>
    <row r="114" spans="39:48" ht="15.75" customHeight="1" x14ac:dyDescent="0.2">
      <c r="AM114" s="21" t="s">
        <v>280</v>
      </c>
      <c r="AN114" s="36">
        <f>AN6*AO3*(1+AN1)</f>
        <v>15375</v>
      </c>
      <c r="AQ114" s="5" t="s">
        <v>285</v>
      </c>
      <c r="AU114" s="21" t="s">
        <v>300</v>
      </c>
      <c r="AV114" s="36">
        <f>AW51</f>
        <v>8556.25</v>
      </c>
    </row>
    <row r="115" spans="39:48" ht="15.75" customHeight="1" x14ac:dyDescent="0.2">
      <c r="AM115" s="21" t="s">
        <v>388</v>
      </c>
      <c r="AN115" s="36">
        <f>AN17*(1+AO1)</f>
        <v>2767.5</v>
      </c>
      <c r="AQ115" s="5" t="s">
        <v>105</v>
      </c>
      <c r="AU115" s="21" t="s">
        <v>301</v>
      </c>
      <c r="AV115" s="36" t="s">
        <v>13</v>
      </c>
    </row>
    <row r="116" spans="39:48" ht="15.75" customHeight="1" x14ac:dyDescent="0.2">
      <c r="AM116" s="21" t="s">
        <v>382</v>
      </c>
      <c r="AN116" s="36">
        <v>100000</v>
      </c>
      <c r="AQ116" s="5" t="s">
        <v>113</v>
      </c>
      <c r="AU116" s="21" t="s">
        <v>302</v>
      </c>
      <c r="AV116" s="36">
        <f>AV14*AV12*(1+AV1)</f>
        <v>68880</v>
      </c>
    </row>
    <row r="117" spans="39:48" ht="15.75" customHeight="1" x14ac:dyDescent="0.2">
      <c r="AM117" s="27" t="s">
        <v>282</v>
      </c>
      <c r="AN117" s="39">
        <f>AN108+AN109+AN110+AN111+AN112+AN113+AN114+AN115+AN116</f>
        <v>329736.875</v>
      </c>
      <c r="AQ117" s="5" t="s">
        <v>122</v>
      </c>
      <c r="AU117" s="21" t="s">
        <v>303</v>
      </c>
      <c r="AV117" s="36">
        <f>-AW81+AW78</f>
        <v>36397.5</v>
      </c>
    </row>
    <row r="118" spans="39:48" ht="15.75" customHeight="1" x14ac:dyDescent="0.2">
      <c r="AQ118" s="5" t="s">
        <v>291</v>
      </c>
      <c r="AU118" s="21" t="s">
        <v>305</v>
      </c>
      <c r="AV118" s="36">
        <f>AV105</f>
        <v>129052.5</v>
      </c>
    </row>
    <row r="119" spans="39:48" ht="15.75" customHeight="1" x14ac:dyDescent="0.2">
      <c r="AQ119" s="5" t="s">
        <v>293</v>
      </c>
      <c r="AU119" s="21" t="s">
        <v>307</v>
      </c>
      <c r="AV119" s="37">
        <f>SUM(AV113:AV118)</f>
        <v>389136.25</v>
      </c>
    </row>
    <row r="120" spans="39:48" ht="15.75" customHeight="1" x14ac:dyDescent="0.2">
      <c r="AQ120" s="5" t="s">
        <v>294</v>
      </c>
      <c r="AU120" s="43" t="s">
        <v>114</v>
      </c>
      <c r="AV120" s="36"/>
    </row>
    <row r="121" spans="39:48" ht="15.75" customHeight="1" x14ac:dyDescent="0.2">
      <c r="AQ121" s="5" t="s">
        <v>295</v>
      </c>
      <c r="AU121" s="21" t="s">
        <v>391</v>
      </c>
      <c r="AV121" s="36">
        <v>55000</v>
      </c>
    </row>
    <row r="122" spans="39:48" ht="15.75" customHeight="1" x14ac:dyDescent="0.2">
      <c r="AQ122" s="5" t="s">
        <v>298</v>
      </c>
      <c r="AU122" s="21" t="s">
        <v>310</v>
      </c>
      <c r="AV122" s="36">
        <f>AW60</f>
        <v>78506.25</v>
      </c>
    </row>
    <row r="123" spans="39:48" ht="15.75" customHeight="1" x14ac:dyDescent="0.2">
      <c r="AU123" s="21" t="s">
        <v>311</v>
      </c>
      <c r="AV123" s="36">
        <f>AR104</f>
        <v>123000</v>
      </c>
    </row>
    <row r="124" spans="39:48" ht="15.75" customHeight="1" x14ac:dyDescent="0.2">
      <c r="AQ124" s="30" t="s">
        <v>148</v>
      </c>
      <c r="AR124" s="31" t="s">
        <v>180</v>
      </c>
      <c r="AS124" s="32" t="s">
        <v>9</v>
      </c>
      <c r="AU124" s="21" t="s">
        <v>313</v>
      </c>
      <c r="AV124" s="36">
        <f>AW78</f>
        <v>16560</v>
      </c>
    </row>
    <row r="125" spans="39:48" ht="15.75" customHeight="1" x14ac:dyDescent="0.2">
      <c r="AQ125" s="21" t="s">
        <v>304</v>
      </c>
      <c r="AR125" s="14" t="s">
        <v>13</v>
      </c>
      <c r="AS125" s="36">
        <f>(AR13+AR14)*AR12*AR1</f>
        <v>10350</v>
      </c>
      <c r="AU125" s="21" t="s">
        <v>314</v>
      </c>
      <c r="AV125" s="36">
        <f>AW102</f>
        <v>695</v>
      </c>
    </row>
    <row r="126" spans="39:48" ht="15.75" customHeight="1" x14ac:dyDescent="0.2">
      <c r="AQ126" s="21" t="s">
        <v>306</v>
      </c>
      <c r="AR126" s="14" t="s">
        <v>13</v>
      </c>
      <c r="AS126" s="36">
        <f>(AR6+AR7)*AR3*AR1+AR18*AS1</f>
        <v>10005</v>
      </c>
      <c r="AU126" s="21" t="s">
        <v>316</v>
      </c>
      <c r="AV126" s="36">
        <f>AW103</f>
        <v>200</v>
      </c>
    </row>
    <row r="127" spans="39:48" ht="15.75" customHeight="1" x14ac:dyDescent="0.2">
      <c r="AQ127" s="21" t="s">
        <v>308</v>
      </c>
      <c r="AR127" s="14">
        <v>-32717.5</v>
      </c>
      <c r="AS127" s="36">
        <f>AR127</f>
        <v>-32717.5</v>
      </c>
      <c r="AU127" s="21" t="s">
        <v>317</v>
      </c>
      <c r="AV127" s="36">
        <f>AV7*AV3*(1+AV1)</f>
        <v>15990</v>
      </c>
    </row>
    <row r="128" spans="39:48" ht="15.75" customHeight="1" x14ac:dyDescent="0.2">
      <c r="AQ128" s="27" t="s">
        <v>309</v>
      </c>
      <c r="AR128" s="41">
        <f>AR127</f>
        <v>-32717.5</v>
      </c>
      <c r="AS128" s="39">
        <f>AS127+AS125-AS126</f>
        <v>-32372.5</v>
      </c>
      <c r="AU128" s="21" t="s">
        <v>318</v>
      </c>
      <c r="AV128" s="36">
        <f>AV18*(1+AW1)</f>
        <v>5535</v>
      </c>
    </row>
    <row r="129" spans="43:48" ht="15.75" customHeight="1" x14ac:dyDescent="0.2">
      <c r="AU129" s="21" t="s">
        <v>319</v>
      </c>
      <c r="AV129" s="36">
        <v>87500</v>
      </c>
    </row>
    <row r="130" spans="43:48" ht="15.75" customHeight="1" x14ac:dyDescent="0.2">
      <c r="AQ130" s="5" t="s">
        <v>312</v>
      </c>
      <c r="AU130" s="27" t="s">
        <v>320</v>
      </c>
      <c r="AV130" s="39">
        <f>SUM(AV121:AV129)</f>
        <v>382986.25</v>
      </c>
    </row>
    <row r="131" spans="43:48" ht="15.75" customHeight="1" x14ac:dyDescent="0.2">
      <c r="AQ131" s="5" t="s">
        <v>315</v>
      </c>
    </row>
    <row r="133" spans="43:48" ht="15.75" customHeight="1" x14ac:dyDescent="0.2">
      <c r="AU133" s="16" t="s">
        <v>321</v>
      </c>
    </row>
    <row r="135" spans="43:48" ht="15.75" customHeight="1" x14ac:dyDescent="0.2">
      <c r="AU135" s="30" t="s">
        <v>128</v>
      </c>
      <c r="AV135" s="32" t="s">
        <v>2</v>
      </c>
    </row>
    <row r="136" spans="43:48" ht="15.75" customHeight="1" x14ac:dyDescent="0.2">
      <c r="AU136" s="21" t="s">
        <v>322</v>
      </c>
      <c r="AV136" s="36">
        <f>AW66</f>
        <v>87500</v>
      </c>
    </row>
    <row r="137" spans="43:48" ht="15.75" customHeight="1" x14ac:dyDescent="0.2">
      <c r="AU137" s="21" t="s">
        <v>323</v>
      </c>
      <c r="AV137" s="36">
        <f>AW67</f>
        <v>139500</v>
      </c>
    </row>
    <row r="138" spans="43:48" ht="15.75" customHeight="1" x14ac:dyDescent="0.2">
      <c r="AU138" s="21" t="s">
        <v>324</v>
      </c>
      <c r="AV138" s="36">
        <f>AW51</f>
        <v>8556.25</v>
      </c>
    </row>
    <row r="139" spans="43:48" ht="15.75" customHeight="1" x14ac:dyDescent="0.2">
      <c r="AU139" s="42" t="s">
        <v>325</v>
      </c>
      <c r="AV139" s="37">
        <f>SUM(AV136:AV138)</f>
        <v>235556.25</v>
      </c>
    </row>
    <row r="140" spans="43:48" ht="15.75" customHeight="1" x14ac:dyDescent="0.2">
      <c r="AU140" s="21" t="s">
        <v>326</v>
      </c>
      <c r="AV140" s="36">
        <f>AW52</f>
        <v>62500</v>
      </c>
    </row>
    <row r="141" spans="43:48" ht="15.75" customHeight="1" x14ac:dyDescent="0.2">
      <c r="AU141" s="21" t="s">
        <v>327</v>
      </c>
      <c r="AV141" s="36">
        <f>AW53</f>
        <v>64500</v>
      </c>
    </row>
    <row r="142" spans="43:48" ht="15.75" customHeight="1" x14ac:dyDescent="0.2">
      <c r="AU142" s="21" t="s">
        <v>328</v>
      </c>
      <c r="AV142" s="36">
        <f>AW54</f>
        <v>4950</v>
      </c>
    </row>
    <row r="143" spans="43:48" ht="15.75" customHeight="1" x14ac:dyDescent="0.2">
      <c r="AU143" s="21" t="s">
        <v>329</v>
      </c>
      <c r="AV143" s="36">
        <f>AW55</f>
        <v>11250</v>
      </c>
    </row>
    <row r="144" spans="43:48" ht="15.75" customHeight="1" x14ac:dyDescent="0.2">
      <c r="AU144" s="21" t="s">
        <v>330</v>
      </c>
      <c r="AV144" s="36">
        <f>AW56</f>
        <v>3750</v>
      </c>
    </row>
    <row r="145" spans="43:48" ht="15.75" customHeight="1" x14ac:dyDescent="0.2">
      <c r="AU145" s="21" t="s">
        <v>331</v>
      </c>
      <c r="AV145" s="36">
        <f>AW57</f>
        <v>2500</v>
      </c>
    </row>
    <row r="146" spans="43:48" ht="15.75" customHeight="1" x14ac:dyDescent="0.2">
      <c r="AU146" s="21" t="s">
        <v>332</v>
      </c>
      <c r="AV146" s="36">
        <f>AW58</f>
        <v>2600</v>
      </c>
    </row>
    <row r="147" spans="43:48" ht="15.75" customHeight="1" x14ac:dyDescent="0.2">
      <c r="AU147" s="21" t="s">
        <v>333</v>
      </c>
      <c r="AV147" s="36">
        <f>AW59</f>
        <v>5000</v>
      </c>
    </row>
    <row r="148" spans="43:48" ht="15.75" customHeight="1" x14ac:dyDescent="0.2">
      <c r="AQ148" s="50"/>
      <c r="AU148" s="42" t="s">
        <v>334</v>
      </c>
      <c r="AV148" s="37">
        <f>SUM(AV140:AV147)</f>
        <v>157050</v>
      </c>
    </row>
    <row r="149" spans="43:48" ht="15.75" customHeight="1" x14ac:dyDescent="0.2">
      <c r="AU149" s="42" t="s">
        <v>335</v>
      </c>
      <c r="AV149" s="37">
        <f>AV139-AV148</f>
        <v>78506.25</v>
      </c>
    </row>
    <row r="150" spans="43:48" ht="15.75" customHeight="1" x14ac:dyDescent="0.2">
      <c r="AU150" s="21" t="s">
        <v>336</v>
      </c>
      <c r="AV150" s="37">
        <f>AV149*0.25</f>
        <v>19626.5625</v>
      </c>
    </row>
    <row r="151" spans="43:48" ht="15.75" customHeight="1" x14ac:dyDescent="0.2">
      <c r="AU151" s="44" t="s">
        <v>337</v>
      </c>
      <c r="AV151" s="45">
        <f>AV149-AV150</f>
        <v>58879.6875</v>
      </c>
    </row>
    <row r="153" spans="43:48" ht="15.75" customHeight="1" x14ac:dyDescent="0.2">
      <c r="AU153" s="30" t="s">
        <v>191</v>
      </c>
      <c r="AV153" s="32" t="s">
        <v>2</v>
      </c>
    </row>
    <row r="154" spans="43:48" ht="15.75" customHeight="1" x14ac:dyDescent="0.2">
      <c r="AU154" s="33" t="s">
        <v>338</v>
      </c>
      <c r="AV154" s="35">
        <f>AV136</f>
        <v>87500</v>
      </c>
    </row>
    <row r="155" spans="43:48" ht="15.75" customHeight="1" x14ac:dyDescent="0.2">
      <c r="AU155" s="21" t="s">
        <v>339</v>
      </c>
      <c r="AV155" s="36">
        <f>AV137</f>
        <v>139500</v>
      </c>
    </row>
    <row r="156" spans="43:48" ht="15.75" customHeight="1" x14ac:dyDescent="0.2">
      <c r="AU156" s="21" t="s">
        <v>340</v>
      </c>
      <c r="AV156" s="36">
        <f>AV140</f>
        <v>62500</v>
      </c>
    </row>
    <row r="157" spans="43:48" ht="15.75" customHeight="1" x14ac:dyDescent="0.2">
      <c r="AU157" s="21" t="s">
        <v>341</v>
      </c>
      <c r="AV157" s="36">
        <f>AW69</f>
        <v>75893.75</v>
      </c>
    </row>
    <row r="158" spans="43:48" ht="15.75" customHeight="1" x14ac:dyDescent="0.2">
      <c r="AU158" s="21" t="s">
        <v>342</v>
      </c>
      <c r="AV158" s="36">
        <f>AV145</f>
        <v>2500</v>
      </c>
    </row>
    <row r="159" spans="43:48" ht="15.75" customHeight="1" x14ac:dyDescent="0.2">
      <c r="AT159" s="4"/>
      <c r="AU159" s="21" t="s">
        <v>343</v>
      </c>
      <c r="AV159" s="36">
        <f>AV146</f>
        <v>2600</v>
      </c>
    </row>
    <row r="160" spans="43:48" ht="15.75" customHeight="1" x14ac:dyDescent="0.2">
      <c r="AU160" s="21" t="s">
        <v>344</v>
      </c>
      <c r="AV160" s="36">
        <f>AV147</f>
        <v>5000</v>
      </c>
    </row>
    <row r="161" spans="47:48" ht="15.75" customHeight="1" x14ac:dyDescent="0.2">
      <c r="AU161" s="42" t="s">
        <v>345</v>
      </c>
      <c r="AV161" s="37">
        <f>AV154+AV155-AV156-AV157-AV158-AV159-AV160</f>
        <v>78506.25</v>
      </c>
    </row>
    <row r="162" spans="47:48" ht="15.75" customHeight="1" x14ac:dyDescent="0.2">
      <c r="AU162" s="21" t="s">
        <v>346</v>
      </c>
      <c r="AV162" s="37">
        <f>AV161*0.25</f>
        <v>19626.5625</v>
      </c>
    </row>
    <row r="163" spans="47:48" ht="15.75" customHeight="1" x14ac:dyDescent="0.2">
      <c r="AU163" s="44" t="s">
        <v>347</v>
      </c>
      <c r="AV163" s="45">
        <f>AV161-AV162</f>
        <v>58879.6875</v>
      </c>
    </row>
    <row r="166" spans="47:48" ht="15.75" customHeight="1" x14ac:dyDescent="0.2">
      <c r="AU166" s="46" t="s">
        <v>97</v>
      </c>
      <c r="AV166" s="47"/>
    </row>
    <row r="167" spans="47:48" ht="15.75" customHeight="1" x14ac:dyDescent="0.2">
      <c r="AU167" s="18" t="s">
        <v>90</v>
      </c>
      <c r="AV167" s="48"/>
    </row>
    <row r="168" spans="47:48" ht="15.75" customHeight="1" x14ac:dyDescent="0.2">
      <c r="AU168" s="21" t="s">
        <v>348</v>
      </c>
      <c r="AV168" s="36">
        <f t="shared" ref="AV168:AV176" si="2">AV111</f>
        <v>150000</v>
      </c>
    </row>
    <row r="169" spans="47:48" ht="15.75" customHeight="1" x14ac:dyDescent="0.2">
      <c r="AU169" s="21" t="s">
        <v>349</v>
      </c>
      <c r="AV169" s="36">
        <f t="shared" si="2"/>
        <v>-3750</v>
      </c>
    </row>
    <row r="170" spans="47:48" ht="15.75" customHeight="1" x14ac:dyDescent="0.2">
      <c r="AU170" s="21" t="s">
        <v>350</v>
      </c>
      <c r="AV170" s="36">
        <f t="shared" si="2"/>
        <v>146250</v>
      </c>
    </row>
    <row r="171" spans="47:48" ht="15.75" customHeight="1" x14ac:dyDescent="0.2">
      <c r="AU171" s="21" t="s">
        <v>351</v>
      </c>
      <c r="AV171" s="36">
        <f t="shared" si="2"/>
        <v>8556.25</v>
      </c>
    </row>
    <row r="172" spans="47:48" ht="15.75" customHeight="1" x14ac:dyDescent="0.2">
      <c r="AU172" s="21" t="s">
        <v>352</v>
      </c>
      <c r="AV172" s="36" t="str">
        <f t="shared" si="2"/>
        <v>-----</v>
      </c>
    </row>
    <row r="173" spans="47:48" ht="15.75" customHeight="1" x14ac:dyDescent="0.2">
      <c r="AU173" s="21" t="s">
        <v>353</v>
      </c>
      <c r="AV173" s="36">
        <f t="shared" si="2"/>
        <v>68880</v>
      </c>
    </row>
    <row r="174" spans="47:48" ht="15.75" customHeight="1" x14ac:dyDescent="0.2">
      <c r="AU174" s="21" t="s">
        <v>354</v>
      </c>
      <c r="AV174" s="36">
        <f t="shared" si="2"/>
        <v>36397.5</v>
      </c>
    </row>
    <row r="175" spans="47:48" ht="15.75" customHeight="1" x14ac:dyDescent="0.2">
      <c r="AU175" s="21" t="s">
        <v>355</v>
      </c>
      <c r="AV175" s="36">
        <f t="shared" si="2"/>
        <v>129052.5</v>
      </c>
    </row>
    <row r="176" spans="47:48" ht="15.75" customHeight="1" x14ac:dyDescent="0.2">
      <c r="AU176" s="21" t="s">
        <v>356</v>
      </c>
      <c r="AV176" s="37">
        <f t="shared" si="2"/>
        <v>389136.25</v>
      </c>
    </row>
    <row r="177" spans="47:48" ht="15.75" customHeight="1" x14ac:dyDescent="0.2">
      <c r="AU177" s="43" t="s">
        <v>114</v>
      </c>
      <c r="AV177" s="36"/>
    </row>
    <row r="178" spans="47:48" ht="15.75" customHeight="1" x14ac:dyDescent="0.2">
      <c r="AU178" s="21" t="s">
        <v>357</v>
      </c>
      <c r="AV178" s="36">
        <v>55000</v>
      </c>
    </row>
    <row r="179" spans="47:48" ht="15.75" customHeight="1" x14ac:dyDescent="0.2">
      <c r="AU179" s="21" t="s">
        <v>358</v>
      </c>
      <c r="AV179" s="36">
        <f>AV151</f>
        <v>58879.6875</v>
      </c>
    </row>
    <row r="180" spans="47:48" ht="15.75" customHeight="1" x14ac:dyDescent="0.2">
      <c r="AU180" s="21" t="s">
        <v>359</v>
      </c>
      <c r="AV180" s="36">
        <f>AV123</f>
        <v>123000</v>
      </c>
    </row>
    <row r="181" spans="47:48" ht="15.75" customHeight="1" x14ac:dyDescent="0.2">
      <c r="AU181" s="21" t="s">
        <v>360</v>
      </c>
      <c r="AV181" s="36">
        <f>AV124</f>
        <v>16560</v>
      </c>
    </row>
    <row r="182" spans="47:48" ht="15.75" customHeight="1" x14ac:dyDescent="0.2">
      <c r="AU182" s="21" t="s">
        <v>361</v>
      </c>
      <c r="AV182" s="36">
        <f>AV125</f>
        <v>695</v>
      </c>
    </row>
    <row r="183" spans="47:48" ht="15.75" customHeight="1" x14ac:dyDescent="0.2">
      <c r="AU183" s="21" t="s">
        <v>362</v>
      </c>
      <c r="AV183" s="36">
        <f>AV126</f>
        <v>200</v>
      </c>
    </row>
    <row r="184" spans="47:48" ht="15.75" customHeight="1" x14ac:dyDescent="0.2">
      <c r="AU184" s="21" t="s">
        <v>363</v>
      </c>
      <c r="AV184" s="36">
        <f>AV162</f>
        <v>19626.5625</v>
      </c>
    </row>
    <row r="185" spans="47:48" ht="15.75" customHeight="1" x14ac:dyDescent="0.2">
      <c r="AU185" s="21" t="s">
        <v>364</v>
      </c>
      <c r="AV185" s="36">
        <f>AV127</f>
        <v>15990</v>
      </c>
    </row>
    <row r="186" spans="47:48" ht="15.75" customHeight="1" x14ac:dyDescent="0.2">
      <c r="AU186" s="21" t="s">
        <v>365</v>
      </c>
      <c r="AV186" s="36">
        <f>AV128</f>
        <v>5535</v>
      </c>
    </row>
    <row r="187" spans="47:48" ht="15.75" customHeight="1" x14ac:dyDescent="0.2">
      <c r="AU187" s="21" t="s">
        <v>366</v>
      </c>
      <c r="AV187" s="36">
        <f>AV129</f>
        <v>87500</v>
      </c>
    </row>
    <row r="188" spans="47:48" ht="15.75" customHeight="1" x14ac:dyDescent="0.2">
      <c r="AU188" s="27" t="s">
        <v>367</v>
      </c>
      <c r="AV188" s="39">
        <f>SUM(AV178:AV187)</f>
        <v>382986.25</v>
      </c>
    </row>
  </sheetData>
  <sheetProtection algorithmName="SHA-512" hashValue="Jg4Bslv4IHFQt4UapXIZFzq0yxu2S5KmULB0ahSwOTly9ZizjN6MJqXNzBL0Rz3FrN6L0C69iMt/iONP7jPMiA==" saltValue="Q0wCvHsVY6YXceNVmiHhcg==" spinCount="100000" sheet="1" objects="1" scenarios="1"/>
  <mergeCells count="21">
    <mergeCell ref="G23:H23"/>
    <mergeCell ref="D22:E22"/>
    <mergeCell ref="A3:B3"/>
    <mergeCell ref="AC21:AC22"/>
    <mergeCell ref="W21:W22"/>
    <mergeCell ref="X21:X22"/>
    <mergeCell ref="Y21:Y22"/>
    <mergeCell ref="AA21:AA22"/>
    <mergeCell ref="AB21:AB22"/>
    <mergeCell ref="AG38:AH38"/>
    <mergeCell ref="AF54:AF56"/>
    <mergeCell ref="AG54:AG56"/>
    <mergeCell ref="AH54:AH56"/>
    <mergeCell ref="AJ54:AJ56"/>
    <mergeCell ref="AA90:AB90"/>
    <mergeCell ref="AB106:AC106"/>
    <mergeCell ref="AA107:AB107"/>
    <mergeCell ref="AA108:AB108"/>
    <mergeCell ref="AU166:AV166"/>
    <mergeCell ref="AA109:AB109"/>
    <mergeCell ref="AA110:AB11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Folha1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Paulo Ferreira</dc:creator>
  <cp:lastModifiedBy>Paulo Ferreira</cp:lastModifiedBy>
  <dcterms:created xsi:type="dcterms:W3CDTF">2014-08-23T20:45:56Z</dcterms:created>
  <dcterms:modified xsi:type="dcterms:W3CDTF">2014-09-28T21:29:17Z</dcterms:modified>
</cp:coreProperties>
</file>