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0" yWindow="0" windowWidth="21570" windowHeight="814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V17" i="1"/>
  <c r="V16" i="1"/>
  <c r="V15" i="1"/>
  <c r="V12" i="1"/>
  <c r="V14" i="1"/>
  <c r="V13" i="1"/>
  <c r="V11" i="1"/>
  <c r="V10" i="1"/>
  <c r="V8" i="1"/>
  <c r="V7" i="1"/>
  <c r="V6" i="1"/>
  <c r="V5" i="1"/>
  <c r="V4" i="1"/>
  <c r="V3" i="1"/>
  <c r="K6" i="1"/>
  <c r="G56" i="1"/>
  <c r="G55" i="1"/>
  <c r="G53" i="1"/>
  <c r="G52" i="1"/>
  <c r="G51" i="1"/>
  <c r="G48" i="1"/>
  <c r="G47" i="1"/>
  <c r="G43" i="1"/>
  <c r="G40" i="1"/>
  <c r="G34" i="1"/>
  <c r="G33" i="1"/>
  <c r="G32" i="1"/>
  <c r="G28" i="1"/>
  <c r="G6" i="1"/>
  <c r="G7" i="1"/>
  <c r="G10" i="1"/>
  <c r="G12" i="1"/>
  <c r="G14" i="1"/>
  <c r="G16" i="1"/>
  <c r="G17" i="1"/>
  <c r="G18" i="1"/>
  <c r="G5" i="1"/>
  <c r="R8" i="1"/>
  <c r="C8" i="1"/>
  <c r="K5" i="1" s="1"/>
  <c r="B8" i="1"/>
  <c r="J8" i="1" s="1"/>
  <c r="G8" i="1" l="1"/>
  <c r="J5" i="1"/>
  <c r="K7" i="1"/>
  <c r="J6" i="1"/>
  <c r="K8" i="1"/>
  <c r="J7" i="1"/>
  <c r="C20" i="1" l="1"/>
  <c r="B19" i="1"/>
  <c r="C15" i="1"/>
  <c r="C11" i="1"/>
  <c r="O22" i="1"/>
  <c r="N21" i="1"/>
  <c r="B57" i="1"/>
  <c r="C54" i="1"/>
  <c r="O15" i="1"/>
  <c r="N15" i="1"/>
  <c r="C49" i="1"/>
  <c r="B49" i="1"/>
  <c r="N14" i="1"/>
  <c r="N13" i="1"/>
  <c r="B44" i="1"/>
  <c r="C42" i="1"/>
  <c r="B36" i="1"/>
  <c r="N8" i="1"/>
  <c r="C35" i="1"/>
  <c r="O7" i="1"/>
  <c r="N7" i="1"/>
  <c r="O6" i="1"/>
  <c r="N6" i="1"/>
  <c r="B30" i="1"/>
  <c r="N5" i="1"/>
  <c r="C29" i="1"/>
  <c r="G35" i="1" l="1"/>
  <c r="G49" i="1"/>
  <c r="G15" i="1"/>
  <c r="G29" i="1"/>
  <c r="B20" i="1"/>
  <c r="G20" i="1" s="1"/>
  <c r="J19" i="1"/>
  <c r="J11" i="1"/>
  <c r="J16" i="1"/>
  <c r="J18" i="1"/>
  <c r="J10" i="1"/>
  <c r="J17" i="1"/>
  <c r="J15" i="1"/>
  <c r="J14" i="1"/>
  <c r="J13" i="1"/>
  <c r="J12" i="1"/>
  <c r="G54" i="1"/>
  <c r="N17" i="1"/>
  <c r="N19" i="1"/>
  <c r="C57" i="1"/>
  <c r="C41" i="1"/>
  <c r="S8" i="1"/>
  <c r="O8" i="1" s="1"/>
  <c r="G11" i="1"/>
  <c r="C36" i="1"/>
  <c r="C30" i="1"/>
  <c r="B58" i="1"/>
  <c r="J44" i="1" s="1"/>
  <c r="B37" i="1"/>
  <c r="N18" i="1"/>
  <c r="N11" i="1"/>
  <c r="N12" i="1"/>
  <c r="O5" i="1"/>
  <c r="O14" i="1"/>
  <c r="O21" i="1"/>
  <c r="N28" i="1"/>
  <c r="O13" i="1"/>
  <c r="C19" i="1"/>
  <c r="B21" i="1" l="1"/>
  <c r="B22" i="1" s="1"/>
  <c r="G19" i="1"/>
  <c r="K13" i="1"/>
  <c r="K18" i="1"/>
  <c r="K12" i="1"/>
  <c r="K19" i="1"/>
  <c r="K10" i="1"/>
  <c r="K14" i="1"/>
  <c r="K17" i="1"/>
  <c r="K16" i="1"/>
  <c r="J57" i="1"/>
  <c r="G57" i="1"/>
  <c r="N4" i="1"/>
  <c r="J37" i="1"/>
  <c r="N10" i="1"/>
  <c r="J51" i="1"/>
  <c r="J40" i="1"/>
  <c r="J29" i="1"/>
  <c r="J47" i="1"/>
  <c r="J52" i="1"/>
  <c r="J58" i="1"/>
  <c r="J28" i="1"/>
  <c r="J48" i="1"/>
  <c r="J56" i="1"/>
  <c r="J35" i="1"/>
  <c r="J55" i="1"/>
  <c r="J34" i="1"/>
  <c r="J54" i="1"/>
  <c r="J43" i="1"/>
  <c r="J33" i="1"/>
  <c r="J53" i="1"/>
  <c r="J42" i="1"/>
  <c r="J32" i="1"/>
  <c r="J41" i="1"/>
  <c r="K15" i="1"/>
  <c r="G30" i="1"/>
  <c r="J30" i="1"/>
  <c r="K11" i="1"/>
  <c r="G36" i="1"/>
  <c r="J36" i="1"/>
  <c r="N26" i="1"/>
  <c r="J49" i="1"/>
  <c r="C37" i="1"/>
  <c r="O19" i="1"/>
  <c r="C44" i="1"/>
  <c r="O17" i="1"/>
  <c r="O18" i="1"/>
  <c r="G21" i="1"/>
  <c r="O23" i="1"/>
  <c r="O12" i="1"/>
  <c r="O4" i="1"/>
  <c r="O24" i="1"/>
  <c r="N27" i="1"/>
  <c r="G22" i="1" l="1"/>
  <c r="N23" i="1"/>
  <c r="G44" i="1"/>
  <c r="G37" i="1"/>
  <c r="O27" i="1"/>
  <c r="C58" i="1"/>
  <c r="K44" i="1" s="1"/>
  <c r="O26" i="1"/>
  <c r="O28" i="1"/>
  <c r="O11" i="1"/>
  <c r="N24" i="1"/>
  <c r="N22" i="1"/>
  <c r="K58" i="1" l="1"/>
  <c r="K28" i="1"/>
  <c r="K56" i="1"/>
  <c r="K55" i="1"/>
  <c r="K34" i="1"/>
  <c r="K48" i="1"/>
  <c r="K47" i="1"/>
  <c r="K40" i="1"/>
  <c r="K43" i="1"/>
  <c r="K33" i="1"/>
  <c r="K53" i="1"/>
  <c r="K32" i="1"/>
  <c r="K52" i="1"/>
  <c r="K51" i="1"/>
  <c r="K35" i="1"/>
  <c r="K42" i="1"/>
  <c r="K49" i="1"/>
  <c r="K54" i="1"/>
  <c r="K29" i="1"/>
  <c r="K30" i="1"/>
  <c r="K36" i="1"/>
  <c r="K57" i="1"/>
  <c r="K41" i="1"/>
  <c r="K37" i="1"/>
  <c r="O10" i="1"/>
  <c r="G58" i="1"/>
</calcChain>
</file>

<file path=xl/comments1.xml><?xml version="1.0" encoding="utf-8"?>
<comments xmlns="http://schemas.openxmlformats.org/spreadsheetml/2006/main">
  <authors>
    <author>User</author>
  </authors>
  <commentList>
    <comment ref="N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primeiro ano utilizou-se o valor final</t>
        </r>
      </text>
    </comment>
  </commentList>
</comments>
</file>

<file path=xl/sharedStrings.xml><?xml version="1.0" encoding="utf-8"?>
<sst xmlns="http://schemas.openxmlformats.org/spreadsheetml/2006/main" count="227" uniqueCount="111">
  <si>
    <t>Balanço</t>
  </si>
  <si>
    <t>Ano n</t>
  </si>
  <si>
    <t>Ano n+1</t>
  </si>
  <si>
    <t>Ativo</t>
  </si>
  <si>
    <t>Ativo não corrente</t>
  </si>
  <si>
    <t xml:space="preserve">   Ativo fixo bruto</t>
  </si>
  <si>
    <t xml:space="preserve">   Depreciações acumuladas</t>
  </si>
  <si>
    <t>Total do ativo não corrente</t>
  </si>
  <si>
    <t>Ativo corrente</t>
  </si>
  <si>
    <t xml:space="preserve">   Inventários – Produtos Acabados</t>
  </si>
  <si>
    <t xml:space="preserve">   Clientes</t>
  </si>
  <si>
    <t xml:space="preserve">   E.O. E. P. – IVA Dedutível</t>
  </si>
  <si>
    <t xml:space="preserve">   Disponibilidades</t>
  </si>
  <si>
    <t>Total do ativo corrente</t>
  </si>
  <si>
    <t>Total do Ativo</t>
  </si>
  <si>
    <t>Capital Próprio e Passivo</t>
  </si>
  <si>
    <t>Rácios de estrutura de capitais</t>
  </si>
  <si>
    <t>Capital Próprio</t>
  </si>
  <si>
    <t xml:space="preserve">   Capital </t>
  </si>
  <si>
    <t xml:space="preserve">   Resultados transitados</t>
  </si>
  <si>
    <t xml:space="preserve">   Reservas</t>
  </si>
  <si>
    <t xml:space="preserve">   Resultado Líquido do Exercício </t>
  </si>
  <si>
    <t>Total do capital próprio</t>
  </si>
  <si>
    <t>Passivo</t>
  </si>
  <si>
    <t>Passivo não corrente</t>
  </si>
  <si>
    <t xml:space="preserve">   Fornecedores de ativo fixo</t>
  </si>
  <si>
    <t xml:space="preserve">   Financiamentos obtidos</t>
  </si>
  <si>
    <t>Total do passivo não corrente</t>
  </si>
  <si>
    <t>Passivo corrente</t>
  </si>
  <si>
    <t xml:space="preserve">   E. O. E. P. – IVA Liquidado</t>
  </si>
  <si>
    <t xml:space="preserve">   E. O. E.P. – Contribuições para a Segurança Social</t>
  </si>
  <si>
    <t>Rácios de liquidez</t>
  </si>
  <si>
    <t xml:space="preserve">   E. O. E.P. – Retenção de Imposto sobre o rendimento</t>
  </si>
  <si>
    <t xml:space="preserve">   E. O. E.P. – Imposto sobre o rendimento</t>
  </si>
  <si>
    <t xml:space="preserve">   Fornecedores</t>
  </si>
  <si>
    <t xml:space="preserve">   Outros Credores</t>
  </si>
  <si>
    <t>Total do passivo corrente</t>
  </si>
  <si>
    <t>Total do Capital Próprio e Passivo</t>
  </si>
  <si>
    <t>Rácios de rentabilidade</t>
  </si>
  <si>
    <t>Rendimentos</t>
  </si>
  <si>
    <t xml:space="preserve">   Variação da Produção</t>
  </si>
  <si>
    <t>Total de rendimentos</t>
  </si>
  <si>
    <t>Gastos</t>
  </si>
  <si>
    <t xml:space="preserve">   Custo das Mercadorias Vendidas</t>
  </si>
  <si>
    <t>Outros rácios</t>
  </si>
  <si>
    <t xml:space="preserve">   Custo das Matérias Consumidas</t>
  </si>
  <si>
    <t xml:space="preserve">   Gastos com o Pessoal</t>
  </si>
  <si>
    <t>Total de gastos</t>
  </si>
  <si>
    <t>Resultado antes de Impostos</t>
  </si>
  <si>
    <t>Resultado Líquido do Exercício</t>
  </si>
  <si>
    <t>-</t>
  </si>
  <si>
    <t>Entradas</t>
  </si>
  <si>
    <t>3 – IVA a Recuperar</t>
  </si>
  <si>
    <t>4 – Recebimento de Clientes</t>
  </si>
  <si>
    <t>Saídas</t>
  </si>
  <si>
    <t>9 – Pagamento de IRC</t>
  </si>
  <si>
    <t>10 – Pagamento à Segurança Social</t>
  </si>
  <si>
    <t>14 – Total de Saídas</t>
  </si>
  <si>
    <t>Saldo final</t>
  </si>
  <si>
    <t>Demonstração de Resultados</t>
  </si>
  <si>
    <t xml:space="preserve">      Energia</t>
  </si>
  <si>
    <t xml:space="preserve">      Rendas e Alugueres</t>
  </si>
  <si>
    <t xml:space="preserve">   Vendas e serviços prestados</t>
  </si>
  <si>
    <t xml:space="preserve">     Vendas de Mercadorias</t>
  </si>
  <si>
    <t xml:space="preserve">     Vendas de Produtos</t>
  </si>
  <si>
    <t xml:space="preserve">   Fornecimentos e serviços externos</t>
  </si>
  <si>
    <t xml:space="preserve">   Gastos de depreciações e amortizações</t>
  </si>
  <si>
    <t xml:space="preserve">   Imparidades de inventários (perdas)</t>
  </si>
  <si>
    <t xml:space="preserve">   Juros e gastos similares suportados</t>
  </si>
  <si>
    <t xml:space="preserve">   Imposto sobre o rendimento do período</t>
  </si>
  <si>
    <t xml:space="preserve">   Ativo fixo tangível</t>
  </si>
  <si>
    <t xml:space="preserve">   Caixa e depósitos bancários</t>
  </si>
  <si>
    <t xml:space="preserve">   Capital realizado</t>
  </si>
  <si>
    <t xml:space="preserve">   Resultado Líquido do período</t>
  </si>
  <si>
    <t>Rácios de funcionamento</t>
  </si>
  <si>
    <t xml:space="preserve">   Rotação do ativo</t>
  </si>
  <si>
    <t xml:space="preserve">   Rotação dos inventários</t>
  </si>
  <si>
    <t xml:space="preserve">   Permanência média de inventários</t>
  </si>
  <si>
    <t xml:space="preserve">   Prazo médio de recebimentos</t>
  </si>
  <si>
    <t xml:space="preserve">   Prazo médio de pagamentos</t>
  </si>
  <si>
    <t xml:space="preserve">   Endividamento</t>
  </si>
  <si>
    <t xml:space="preserve">   Estrutura de capitais</t>
  </si>
  <si>
    <t xml:space="preserve">   Estrutura do endividamento</t>
  </si>
  <si>
    <t xml:space="preserve">   Cobertura do serviço da dívida</t>
  </si>
  <si>
    <t xml:space="preserve">   Cobertura dos encargos financeiros</t>
  </si>
  <si>
    <t xml:space="preserve">   Período de recuperação da dívida</t>
  </si>
  <si>
    <t xml:space="preserve">   Liquidez geral</t>
  </si>
  <si>
    <t xml:space="preserve">   Liquidez reduzida</t>
  </si>
  <si>
    <t xml:space="preserve">   Liquidez imediata</t>
  </si>
  <si>
    <t xml:space="preserve">   Rentabilidade operacional das vendas</t>
  </si>
  <si>
    <t xml:space="preserve">   Rentabilidade líquida das vendas</t>
  </si>
  <si>
    <t xml:space="preserve">   Rentabilidade do capital próprio</t>
  </si>
  <si>
    <t xml:space="preserve">   Rentabilidade líquida do ativo</t>
  </si>
  <si>
    <t xml:space="preserve">   Autonomia financeira</t>
  </si>
  <si>
    <t xml:space="preserve">   Dependência financeira</t>
  </si>
  <si>
    <t xml:space="preserve">   Solvabilidade</t>
  </si>
  <si>
    <t>Compras</t>
  </si>
  <si>
    <t>Demonstração de Resultados - Análise horizontal</t>
  </si>
  <si>
    <t>Balanço - Análise horizontal</t>
  </si>
  <si>
    <t>Demonstração de Resultados - Análise vertical</t>
  </si>
  <si>
    <t>Rácios da Sousamar Unipessoal, Lda</t>
  </si>
  <si>
    <t>1 – Alienação de equipamento</t>
  </si>
  <si>
    <t>2 – Venda de inventários</t>
  </si>
  <si>
    <t>5 – Caixa e depósitos bancários</t>
  </si>
  <si>
    <t>6 – Liquidez</t>
  </si>
  <si>
    <t>7 – Pagamento de dívidas a Fornecedores</t>
  </si>
  <si>
    <t>8 – Pagamento a fornecedores de Imobilizado</t>
  </si>
  <si>
    <t>11 – Pagamento de IRS retido na fonte</t>
  </si>
  <si>
    <t>12 – Pagamento de energia</t>
  </si>
  <si>
    <t>13 – Pagamento do financiamento obtido</t>
  </si>
  <si>
    <t>Análise do valor de liquidação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</si>
</sst>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4" fontId="5" fillId="0" borderId="4" xfId="2" applyFont="1" applyFill="1" applyBorder="1" applyAlignment="1">
      <alignment horizontal="right" vertical="top" wrapText="1"/>
    </xf>
    <xf numFmtId="44" fontId="6" fillId="0" borderId="4" xfId="2" applyFont="1" applyFill="1" applyBorder="1" applyAlignment="1">
      <alignment horizontal="right" vertical="top" wrapText="1"/>
    </xf>
    <xf numFmtId="0" fontId="0" fillId="0" borderId="6" xfId="0" applyFill="1" applyBorder="1"/>
    <xf numFmtId="0" fontId="2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center" vertical="top" wrapText="1"/>
    </xf>
    <xf numFmtId="44" fontId="5" fillId="0" borderId="7" xfId="2" applyFont="1" applyFill="1" applyBorder="1" applyAlignment="1">
      <alignment horizontal="right" vertical="top" wrapText="1"/>
    </xf>
    <xf numFmtId="44" fontId="6" fillId="0" borderId="7" xfId="2" applyFont="1" applyFill="1" applyBorder="1" applyAlignment="1">
      <alignment horizontal="right" vertical="top" wrapText="1"/>
    </xf>
    <xf numFmtId="44" fontId="3" fillId="0" borderId="7" xfId="2" applyFont="1" applyFill="1" applyBorder="1" applyAlignment="1">
      <alignment horizontal="justify" vertical="top" wrapText="1"/>
    </xf>
    <xf numFmtId="44" fontId="7" fillId="0" borderId="8" xfId="2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6" xfId="0" applyFont="1" applyFill="1" applyBorder="1"/>
    <xf numFmtId="0" fontId="3" fillId="0" borderId="7" xfId="0" applyFont="1" applyFill="1" applyBorder="1"/>
    <xf numFmtId="44" fontId="3" fillId="0" borderId="7" xfId="2" applyFont="1" applyFill="1" applyBorder="1"/>
    <xf numFmtId="44" fontId="3" fillId="0" borderId="4" xfId="2" applyFont="1" applyFill="1" applyBorder="1" applyAlignment="1">
      <alignment horizontal="right" vertical="top" wrapText="1"/>
    </xf>
    <xf numFmtId="44" fontId="6" fillId="0" borderId="5" xfId="2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justify" vertical="top" wrapText="1"/>
    </xf>
    <xf numFmtId="44" fontId="3" fillId="0" borderId="7" xfId="2" applyFont="1" applyFill="1" applyBorder="1" applyAlignment="1">
      <alignment horizontal="right" vertical="top" wrapText="1"/>
    </xf>
    <xf numFmtId="44" fontId="6" fillId="0" borderId="8" xfId="2" applyFont="1" applyFill="1" applyBorder="1" applyAlignment="1">
      <alignment horizontal="right" vertical="top" wrapText="1"/>
    </xf>
    <xf numFmtId="0" fontId="3" fillId="0" borderId="0" xfId="0" applyFont="1" applyFill="1"/>
    <xf numFmtId="4" fontId="3" fillId="0" borderId="0" xfId="0" applyNumberFormat="1" applyFont="1" applyFill="1"/>
    <xf numFmtId="10" fontId="5" fillId="0" borderId="7" xfId="1" applyNumberFormat="1" applyFont="1" applyFill="1" applyBorder="1" applyAlignment="1">
      <alignment horizontal="right" vertical="top" wrapText="1"/>
    </xf>
    <xf numFmtId="9" fontId="6" fillId="0" borderId="7" xfId="1" applyFont="1" applyFill="1" applyBorder="1" applyAlignment="1">
      <alignment horizontal="right" vertical="top" wrapText="1"/>
    </xf>
    <xf numFmtId="4" fontId="6" fillId="0" borderId="7" xfId="0" applyNumberFormat="1" applyFont="1" applyFill="1" applyBorder="1" applyAlignment="1">
      <alignment horizontal="right" vertical="top" wrapText="1"/>
    </xf>
    <xf numFmtId="4" fontId="7" fillId="0" borderId="7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/>
    <xf numFmtId="10" fontId="5" fillId="0" borderId="8" xfId="1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 wrapText="1"/>
    </xf>
    <xf numFmtId="10" fontId="3" fillId="0" borderId="7" xfId="1" applyNumberFormat="1" applyFont="1" applyFill="1" applyBorder="1" applyAlignment="1">
      <alignment horizontal="right" vertical="top" wrapText="1"/>
    </xf>
    <xf numFmtId="4" fontId="5" fillId="0" borderId="7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right" vertical="top" wrapText="1"/>
    </xf>
    <xf numFmtId="9" fontId="6" fillId="0" borderId="8" xfId="1" applyFont="1" applyFill="1" applyBorder="1" applyAlignment="1">
      <alignment horizontal="right" vertical="top" wrapText="1"/>
    </xf>
    <xf numFmtId="10" fontId="3" fillId="0" borderId="8" xfId="1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2" fontId="3" fillId="0" borderId="7" xfId="0" applyNumberFormat="1" applyFont="1" applyFill="1" applyBorder="1"/>
    <xf numFmtId="4" fontId="3" fillId="0" borderId="7" xfId="0" applyNumberFormat="1" applyFont="1" applyFill="1" applyBorder="1"/>
    <xf numFmtId="10" fontId="3" fillId="0" borderId="7" xfId="1" applyNumberFormat="1" applyFont="1" applyFill="1" applyBorder="1"/>
    <xf numFmtId="10" fontId="3" fillId="0" borderId="8" xfId="1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0" xfId="0" applyFont="1" applyFill="1"/>
    <xf numFmtId="44" fontId="3" fillId="0" borderId="7" xfId="0" applyNumberFormat="1" applyFont="1" applyFill="1" applyBorder="1"/>
    <xf numFmtId="44" fontId="3" fillId="0" borderId="8" xfId="0" applyNumberFormat="1" applyFont="1" applyFill="1" applyBorder="1"/>
  </cellXfs>
  <cellStyles count="3">
    <cellStyle name="Moeda" xfId="2" builtinId="4"/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"/>
  <sheetViews>
    <sheetView tabSelected="1" topLeftCell="B1" workbookViewId="0">
      <selection activeCell="I19" sqref="I19"/>
    </sheetView>
  </sheetViews>
  <sheetFormatPr defaultRowHeight="16.5" customHeight="1" x14ac:dyDescent="0.2"/>
  <cols>
    <col min="1" max="1" width="45.28515625" style="29" bestFit="1" customWidth="1"/>
    <col min="2" max="3" width="12.28515625" style="29" bestFit="1" customWidth="1"/>
    <col min="4" max="4" width="9.140625" style="29"/>
    <col min="5" max="5" width="45.28515625" style="29" bestFit="1" customWidth="1"/>
    <col min="6" max="7" width="9" style="29" bestFit="1" customWidth="1"/>
    <col min="8" max="8" width="9.140625" style="29"/>
    <col min="9" max="9" width="45.28515625" style="29" bestFit="1" customWidth="1"/>
    <col min="10" max="11" width="9" style="29" bestFit="1" customWidth="1"/>
    <col min="12" max="12" width="9.140625" style="29"/>
    <col min="13" max="13" width="36.5703125" style="29" bestFit="1" customWidth="1"/>
    <col min="14" max="14" width="9.140625" style="29" bestFit="1" customWidth="1"/>
    <col min="15" max="15" width="8" style="29" bestFit="1" customWidth="1"/>
    <col min="16" max="16" width="9.140625" style="29"/>
    <col min="17" max="17" width="8.7109375" style="29" bestFit="1" customWidth="1"/>
    <col min="18" max="19" width="11.28515625" style="29" bestFit="1" customWidth="1"/>
    <col min="20" max="20" width="9.140625" style="29"/>
    <col min="21" max="21" width="38.140625" style="29" bestFit="1" customWidth="1"/>
    <col min="22" max="22" width="12.42578125" style="29" bestFit="1" customWidth="1"/>
    <col min="23" max="16384" width="9.140625" style="29"/>
  </cols>
  <sheetData>
    <row r="1" spans="1:22" ht="16.5" customHeight="1" x14ac:dyDescent="0.2">
      <c r="A1" s="1" t="s">
        <v>59</v>
      </c>
      <c r="B1" s="2"/>
      <c r="C1" s="3"/>
      <c r="E1" s="1" t="s">
        <v>97</v>
      </c>
      <c r="F1" s="2"/>
      <c r="G1" s="3"/>
      <c r="I1" s="1" t="s">
        <v>99</v>
      </c>
      <c r="J1" s="2"/>
      <c r="K1" s="3"/>
      <c r="M1" s="49" t="s">
        <v>100</v>
      </c>
      <c r="N1" s="50"/>
      <c r="O1" s="51"/>
      <c r="U1" s="43" t="s">
        <v>110</v>
      </c>
      <c r="V1" s="44"/>
    </row>
    <row r="2" spans="1:22" ht="16.5" customHeight="1" x14ac:dyDescent="0.25">
      <c r="A2" s="18"/>
      <c r="B2" s="37" t="s">
        <v>1</v>
      </c>
      <c r="C2" s="37" t="s">
        <v>2</v>
      </c>
      <c r="E2" s="7"/>
      <c r="F2" s="37" t="s">
        <v>1</v>
      </c>
      <c r="G2" s="37" t="s">
        <v>2</v>
      </c>
      <c r="I2" s="7"/>
      <c r="J2" s="37" t="s">
        <v>1</v>
      </c>
      <c r="K2" s="37" t="s">
        <v>2</v>
      </c>
      <c r="M2" s="52"/>
      <c r="N2" s="52" t="s">
        <v>1</v>
      </c>
      <c r="O2" s="52" t="s">
        <v>2</v>
      </c>
      <c r="U2" s="18" t="s">
        <v>51</v>
      </c>
      <c r="V2" s="18"/>
    </row>
    <row r="3" spans="1:22" ht="16.5" customHeight="1" x14ac:dyDescent="0.2">
      <c r="A3" s="8" t="s">
        <v>39</v>
      </c>
      <c r="B3" s="9"/>
      <c r="C3" s="17"/>
      <c r="E3" s="8" t="s">
        <v>39</v>
      </c>
      <c r="F3" s="9"/>
      <c r="G3" s="17"/>
      <c r="I3" s="8" t="s">
        <v>39</v>
      </c>
      <c r="J3" s="9"/>
      <c r="K3" s="17"/>
      <c r="M3" s="19" t="s">
        <v>74</v>
      </c>
      <c r="N3" s="19"/>
      <c r="O3" s="19"/>
      <c r="U3" s="19" t="s">
        <v>101</v>
      </c>
      <c r="V3" s="54">
        <f>B30</f>
        <v>146250</v>
      </c>
    </row>
    <row r="4" spans="1:22" ht="16.5" customHeight="1" x14ac:dyDescent="0.2">
      <c r="A4" s="9" t="s">
        <v>62</v>
      </c>
      <c r="B4" s="19"/>
      <c r="C4" s="19"/>
      <c r="E4" s="9" t="s">
        <v>62</v>
      </c>
      <c r="F4" s="31"/>
      <c r="G4" s="31"/>
      <c r="I4" s="9" t="s">
        <v>62</v>
      </c>
      <c r="J4" s="31"/>
      <c r="K4" s="31"/>
      <c r="M4" s="19" t="s">
        <v>75</v>
      </c>
      <c r="N4" s="45">
        <f>(B5+B6)/B37</f>
        <v>0.5927105738130285</v>
      </c>
      <c r="O4" s="45">
        <f>(C5+C6)/((C37+B37)/2)</f>
        <v>0.7736179436524675</v>
      </c>
      <c r="U4" s="19" t="s">
        <v>102</v>
      </c>
      <c r="V4" s="54">
        <f>B32</f>
        <v>8556.25</v>
      </c>
    </row>
    <row r="5" spans="1:22" ht="16.5" customHeight="1" x14ac:dyDescent="0.2">
      <c r="A5" s="9" t="s">
        <v>63</v>
      </c>
      <c r="B5" s="13">
        <v>87500</v>
      </c>
      <c r="C5" s="13">
        <v>12500</v>
      </c>
      <c r="E5" s="9" t="s">
        <v>63</v>
      </c>
      <c r="F5" s="31"/>
      <c r="G5" s="31">
        <f>(C5/B5-1)</f>
        <v>-0.85714285714285721</v>
      </c>
      <c r="I5" s="9" t="s">
        <v>63</v>
      </c>
      <c r="J5" s="31">
        <f>B5/$B$8</f>
        <v>0.37146116904136484</v>
      </c>
      <c r="K5" s="31">
        <f>C5/$C$8</f>
        <v>4.3327556325823226E-2</v>
      </c>
      <c r="M5" s="19" t="s">
        <v>76</v>
      </c>
      <c r="N5" s="45">
        <f>(B10+B11)/B32</f>
        <v>14.842951059167275</v>
      </c>
      <c r="O5" s="45">
        <f>(C10+C11)/((C32+B32)/2)</f>
        <v>22.113843044796226</v>
      </c>
      <c r="U5" s="19" t="s">
        <v>52</v>
      </c>
      <c r="V5" s="54">
        <f>B34-B51</f>
        <v>19837.5</v>
      </c>
    </row>
    <row r="6" spans="1:22" ht="16.5" customHeight="1" x14ac:dyDescent="0.2">
      <c r="A6" s="9" t="s">
        <v>64</v>
      </c>
      <c r="B6" s="13">
        <v>139500</v>
      </c>
      <c r="C6" s="13">
        <v>275000</v>
      </c>
      <c r="E6" s="9" t="s">
        <v>64</v>
      </c>
      <c r="F6" s="31"/>
      <c r="G6" s="31">
        <f t="shared" ref="G6:G22" si="0">(C6/B6-1)</f>
        <v>0.97132616487455192</v>
      </c>
      <c r="I6" s="9" t="s">
        <v>64</v>
      </c>
      <c r="J6" s="31">
        <f>B6/$B$8</f>
        <v>0.5922152352145188</v>
      </c>
      <c r="K6" s="31">
        <f t="shared" ref="K6:K8" si="1">C6/$C$8</f>
        <v>0.95320623916811087</v>
      </c>
      <c r="M6" s="19" t="s">
        <v>77</v>
      </c>
      <c r="N6" s="45">
        <f>B32/(B10+B11)*360</f>
        <v>24.253937007874015</v>
      </c>
      <c r="O6" s="45">
        <f>((C32+B32)/2)/(C11+C10)*360</f>
        <v>16.27939563787011</v>
      </c>
      <c r="U6" s="19" t="s">
        <v>53</v>
      </c>
      <c r="V6" s="54">
        <f>B33</f>
        <v>68880</v>
      </c>
    </row>
    <row r="7" spans="1:22" ht="16.5" customHeight="1" x14ac:dyDescent="0.2">
      <c r="A7" s="9" t="s">
        <v>40</v>
      </c>
      <c r="B7" s="13">
        <v>8556.25</v>
      </c>
      <c r="C7" s="13">
        <v>1000</v>
      </c>
      <c r="E7" s="9" t="s">
        <v>40</v>
      </c>
      <c r="F7" s="32"/>
      <c r="G7" s="31">
        <f t="shared" si="0"/>
        <v>-0.88312636961285607</v>
      </c>
      <c r="I7" s="9" t="s">
        <v>40</v>
      </c>
      <c r="J7" s="31">
        <f>B7/$B$8</f>
        <v>3.6323595744116317E-2</v>
      </c>
      <c r="K7" s="31">
        <f t="shared" si="1"/>
        <v>3.4662045060658577E-3</v>
      </c>
      <c r="M7" s="19" t="s">
        <v>78</v>
      </c>
      <c r="N7" s="45">
        <f>B33/((B5+B6)*1.23)*360</f>
        <v>88.810572687224663</v>
      </c>
      <c r="O7" s="45">
        <f>((C33+B33)/2)/((C5+C6)*1.23)*360</f>
        <v>73.364156945917287</v>
      </c>
      <c r="U7" s="19" t="s">
        <v>103</v>
      </c>
      <c r="V7" s="54">
        <f>B35</f>
        <v>122902.5</v>
      </c>
    </row>
    <row r="8" spans="1:22" ht="16.5" customHeight="1" x14ac:dyDescent="0.2">
      <c r="A8" s="10" t="s">
        <v>41</v>
      </c>
      <c r="B8" s="14">
        <f>SUM(B5:B7)</f>
        <v>235556.25</v>
      </c>
      <c r="C8" s="14">
        <f>SUM(C5:C7)</f>
        <v>288500</v>
      </c>
      <c r="E8" s="10" t="s">
        <v>41</v>
      </c>
      <c r="F8" s="9"/>
      <c r="G8" s="31">
        <f t="shared" si="0"/>
        <v>0.2247605402106716</v>
      </c>
      <c r="I8" s="10" t="s">
        <v>41</v>
      </c>
      <c r="J8" s="31">
        <f>B8/$B$8</f>
        <v>1</v>
      </c>
      <c r="K8" s="31">
        <f t="shared" si="1"/>
        <v>1</v>
      </c>
      <c r="M8" s="19" t="s">
        <v>79</v>
      </c>
      <c r="N8" s="45">
        <f>B55/((R8+B14+B15/1.23)*1.23)*360</f>
        <v>31.44342021755822</v>
      </c>
      <c r="O8" s="45">
        <f>((C55+B55)/2)/((S8+C14+C15/1.23)*1.23)*360</f>
        <v>22.792019742594356</v>
      </c>
      <c r="Q8" s="53" t="s">
        <v>96</v>
      </c>
      <c r="R8" s="30">
        <f>(B10+B11)+B32</f>
        <v>135556.25</v>
      </c>
      <c r="S8" s="30">
        <f>(C10+C11)+C32-B32</f>
        <v>206618.75</v>
      </c>
      <c r="U8" s="19" t="s">
        <v>104</v>
      </c>
      <c r="V8" s="54">
        <f>SUM(V3:V7)</f>
        <v>366426.25</v>
      </c>
    </row>
    <row r="9" spans="1:22" ht="16.5" customHeight="1" x14ac:dyDescent="0.2">
      <c r="A9" s="8" t="s">
        <v>42</v>
      </c>
      <c r="B9" s="15"/>
      <c r="C9" s="15"/>
      <c r="E9" s="8" t="s">
        <v>42</v>
      </c>
      <c r="F9" s="31"/>
      <c r="G9" s="31"/>
      <c r="I9" s="8" t="s">
        <v>42</v>
      </c>
      <c r="J9" s="31"/>
      <c r="K9" s="31"/>
      <c r="M9" s="19" t="s">
        <v>16</v>
      </c>
      <c r="N9" s="19"/>
      <c r="O9" s="19"/>
      <c r="U9" s="19" t="s">
        <v>54</v>
      </c>
      <c r="V9" s="19"/>
    </row>
    <row r="10" spans="1:22" ht="16.5" customHeight="1" x14ac:dyDescent="0.2">
      <c r="A10" s="9" t="s">
        <v>43</v>
      </c>
      <c r="B10" s="13">
        <v>62500</v>
      </c>
      <c r="C10" s="13">
        <v>7850</v>
      </c>
      <c r="E10" s="9" t="s">
        <v>43</v>
      </c>
      <c r="F10" s="31"/>
      <c r="G10" s="31">
        <f t="shared" si="0"/>
        <v>-0.87440000000000007</v>
      </c>
      <c r="I10" s="9" t="s">
        <v>43</v>
      </c>
      <c r="J10" s="31">
        <f>B10/$B$19</f>
        <v>0.39796243234638651</v>
      </c>
      <c r="K10" s="31">
        <f>C10/$C$19</f>
        <v>3.2914046121593293E-2</v>
      </c>
      <c r="M10" s="19" t="s">
        <v>80</v>
      </c>
      <c r="N10" s="45">
        <f>(B49+B57)/B58</f>
        <v>0.70265331979934009</v>
      </c>
      <c r="O10" s="45">
        <f>(C49+C57)/C58</f>
        <v>0.57982146900188858</v>
      </c>
      <c r="U10" s="19" t="s">
        <v>105</v>
      </c>
      <c r="V10" s="54">
        <f>B55</f>
        <v>15990</v>
      </c>
    </row>
    <row r="11" spans="1:22" ht="16.5" customHeight="1" x14ac:dyDescent="0.2">
      <c r="A11" s="9" t="s">
        <v>45</v>
      </c>
      <c r="B11" s="13">
        <v>64500</v>
      </c>
      <c r="C11" s="13">
        <f>C6*0.525+52950</f>
        <v>197325</v>
      </c>
      <c r="E11" s="9" t="s">
        <v>45</v>
      </c>
      <c r="F11" s="31"/>
      <c r="G11" s="31">
        <f t="shared" si="0"/>
        <v>2.0593023255813954</v>
      </c>
      <c r="I11" s="9" t="s">
        <v>45</v>
      </c>
      <c r="J11" s="31">
        <f>B11/$B$19</f>
        <v>0.41069723018147086</v>
      </c>
      <c r="K11" s="31">
        <f>C11/$C$19</f>
        <v>0.82735849056603772</v>
      </c>
      <c r="M11" s="19" t="s">
        <v>81</v>
      </c>
      <c r="N11" s="45">
        <f>(B49+B57)/B44</f>
        <v>2.3630777358104855</v>
      </c>
      <c r="O11" s="45">
        <f>(C49+C57)/C44</f>
        <v>1.3799407304903319</v>
      </c>
      <c r="U11" s="19" t="s">
        <v>106</v>
      </c>
      <c r="V11" s="54">
        <f>B47</f>
        <v>123000</v>
      </c>
    </row>
    <row r="12" spans="1:22" ht="16.5" customHeight="1" x14ac:dyDescent="0.2">
      <c r="A12" s="9" t="s">
        <v>46</v>
      </c>
      <c r="B12" s="13">
        <v>4950</v>
      </c>
      <c r="C12" s="13">
        <v>4950</v>
      </c>
      <c r="E12" s="9" t="s">
        <v>46</v>
      </c>
      <c r="F12" s="31"/>
      <c r="G12" s="31">
        <f t="shared" si="0"/>
        <v>0</v>
      </c>
      <c r="I12" s="9" t="s">
        <v>46</v>
      </c>
      <c r="J12" s="31">
        <f>B12/$B$19</f>
        <v>3.151862464183381E-2</v>
      </c>
      <c r="K12" s="31">
        <f>C12/$C$19</f>
        <v>2.0754716981132074E-2</v>
      </c>
      <c r="M12" s="19" t="s">
        <v>82</v>
      </c>
      <c r="N12" s="45">
        <f>B57/(B49+B57)</f>
        <v>0.21778198197769685</v>
      </c>
      <c r="O12" s="45">
        <f>C57/(C49+C57)</f>
        <v>0.28193590081141245</v>
      </c>
      <c r="U12" s="19" t="s">
        <v>55</v>
      </c>
      <c r="V12" s="54">
        <f>B54</f>
        <v>19626.560000000001</v>
      </c>
    </row>
    <row r="13" spans="1:22" ht="16.5" customHeight="1" x14ac:dyDescent="0.2">
      <c r="A13" s="9" t="s">
        <v>65</v>
      </c>
      <c r="B13" s="20"/>
      <c r="C13" s="20"/>
      <c r="E13" s="9" t="s">
        <v>65</v>
      </c>
      <c r="F13" s="31"/>
      <c r="G13" s="31"/>
      <c r="I13" s="9" t="s">
        <v>65</v>
      </c>
      <c r="J13" s="31">
        <f>B13/$B$19</f>
        <v>0</v>
      </c>
      <c r="K13" s="31">
        <f>C13/$C$19</f>
        <v>0</v>
      </c>
      <c r="M13" s="19" t="s">
        <v>83</v>
      </c>
      <c r="N13" s="46">
        <f>(B5-B10+B6+B7-B11-B12-B14-B15)/(17500+2600)</f>
        <v>4.4704601990049753</v>
      </c>
      <c r="O13" s="46">
        <f>(C5-C10+C6+C7-C11-C12-C14-C15)/(B48-C48+C18)</f>
        <v>1.4088050314465408</v>
      </c>
      <c r="U13" s="19" t="s">
        <v>56</v>
      </c>
      <c r="V13" s="54">
        <f>B52</f>
        <v>695</v>
      </c>
    </row>
    <row r="14" spans="1:22" ht="16.5" customHeight="1" x14ac:dyDescent="0.2">
      <c r="A14" s="9" t="s">
        <v>60</v>
      </c>
      <c r="B14" s="13">
        <v>11250</v>
      </c>
      <c r="C14" s="13">
        <v>16375</v>
      </c>
      <c r="E14" s="9" t="s">
        <v>60</v>
      </c>
      <c r="F14" s="31"/>
      <c r="G14" s="31">
        <f t="shared" si="0"/>
        <v>0.45555555555555549</v>
      </c>
      <c r="I14" s="9" t="s">
        <v>60</v>
      </c>
      <c r="J14" s="31">
        <f>B14/$B$19</f>
        <v>7.1633237822349566E-2</v>
      </c>
      <c r="K14" s="31">
        <f>C14/$C$19</f>
        <v>6.8658280922431869E-2</v>
      </c>
      <c r="M14" s="19" t="s">
        <v>84</v>
      </c>
      <c r="N14" s="45">
        <f>(B5-B10+B6+B7-B11-B12-B14-B15-B16)/B18</f>
        <v>33.11778846153846</v>
      </c>
      <c r="O14" s="45">
        <f>(C5-C10+C6+C7-C11-C12-C14-C15-C16)/C18</f>
        <v>23.222222222222221</v>
      </c>
      <c r="U14" s="19" t="s">
        <v>107</v>
      </c>
      <c r="V14" s="54">
        <f>B53</f>
        <v>200</v>
      </c>
    </row>
    <row r="15" spans="1:22" ht="16.5" customHeight="1" x14ac:dyDescent="0.2">
      <c r="A15" s="9" t="s">
        <v>61</v>
      </c>
      <c r="B15" s="13">
        <v>2500</v>
      </c>
      <c r="C15" s="13">
        <f>500*12</f>
        <v>6000</v>
      </c>
      <c r="E15" s="9" t="s">
        <v>61</v>
      </c>
      <c r="F15" s="31"/>
      <c r="G15" s="31">
        <f t="shared" si="0"/>
        <v>1.4</v>
      </c>
      <c r="I15" s="9" t="s">
        <v>61</v>
      </c>
      <c r="J15" s="31">
        <f>B15/$B$19</f>
        <v>1.5918497293855461E-2</v>
      </c>
      <c r="K15" s="31">
        <f>C15/$C$19</f>
        <v>2.5157232704402517E-2</v>
      </c>
      <c r="M15" s="19" t="s">
        <v>85</v>
      </c>
      <c r="N15" s="45">
        <f>B48/(B43+B16)</f>
        <v>1.3971009596247401</v>
      </c>
      <c r="O15" s="45">
        <f>C48/(C43+C16)</f>
        <v>1.2121212121212122</v>
      </c>
      <c r="U15" s="19" t="s">
        <v>108</v>
      </c>
      <c r="V15" s="54">
        <f>B56</f>
        <v>5535</v>
      </c>
    </row>
    <row r="16" spans="1:22" ht="16.5" customHeight="1" x14ac:dyDescent="0.2">
      <c r="A16" s="9" t="s">
        <v>66</v>
      </c>
      <c r="B16" s="13">
        <v>3750</v>
      </c>
      <c r="C16" s="13">
        <v>3750</v>
      </c>
      <c r="E16" s="9" t="s">
        <v>66</v>
      </c>
      <c r="F16" s="31"/>
      <c r="G16" s="31">
        <f t="shared" si="0"/>
        <v>0</v>
      </c>
      <c r="I16" s="9" t="s">
        <v>66</v>
      </c>
      <c r="J16" s="31">
        <f>B16/$B$19</f>
        <v>2.387774594078319E-2</v>
      </c>
      <c r="K16" s="31">
        <f>C16/$C$19</f>
        <v>1.5723270440251572E-2</v>
      </c>
      <c r="M16" s="19" t="s">
        <v>31</v>
      </c>
      <c r="N16" s="19"/>
      <c r="O16" s="19"/>
      <c r="U16" s="19" t="s">
        <v>109</v>
      </c>
      <c r="V16" s="54">
        <f>B48</f>
        <v>87500</v>
      </c>
    </row>
    <row r="17" spans="1:22" ht="16.5" customHeight="1" x14ac:dyDescent="0.2">
      <c r="A17" s="9" t="s">
        <v>67</v>
      </c>
      <c r="B17" s="13">
        <v>5000</v>
      </c>
      <c r="C17" s="13"/>
      <c r="E17" s="9" t="s">
        <v>67</v>
      </c>
      <c r="F17" s="32"/>
      <c r="G17" s="31">
        <f t="shared" si="0"/>
        <v>-1</v>
      </c>
      <c r="I17" s="9" t="s">
        <v>67</v>
      </c>
      <c r="J17" s="31">
        <f>B17/$B$19</f>
        <v>3.1836994587710922E-2</v>
      </c>
      <c r="K17" s="31">
        <f>C17/$C$19</f>
        <v>0</v>
      </c>
      <c r="M17" s="19" t="s">
        <v>86</v>
      </c>
      <c r="N17" s="45">
        <f>B36/B57</f>
        <v>4.039415553480703</v>
      </c>
      <c r="O17" s="45">
        <f>C36/C57</f>
        <v>3.6976770523813567</v>
      </c>
      <c r="U17" s="19" t="s">
        <v>57</v>
      </c>
      <c r="V17" s="54">
        <f>SUM(V10:V16)</f>
        <v>252546.56</v>
      </c>
    </row>
    <row r="18" spans="1:22" ht="16.5" customHeight="1" x14ac:dyDescent="0.2">
      <c r="A18" s="9" t="s">
        <v>68</v>
      </c>
      <c r="B18" s="13">
        <v>2600</v>
      </c>
      <c r="C18" s="13">
        <v>2250</v>
      </c>
      <c r="E18" s="9" t="s">
        <v>68</v>
      </c>
      <c r="F18" s="33"/>
      <c r="G18" s="31">
        <f t="shared" si="0"/>
        <v>-0.13461538461538458</v>
      </c>
      <c r="I18" s="9" t="s">
        <v>68</v>
      </c>
      <c r="J18" s="31">
        <f>B18/$B$19</f>
        <v>1.6555237185609677E-2</v>
      </c>
      <c r="K18" s="31">
        <f>C18/$C$19</f>
        <v>9.433962264150943E-3</v>
      </c>
      <c r="M18" s="19" t="s">
        <v>87</v>
      </c>
      <c r="N18" s="45">
        <f>(B36-B32)/B57</f>
        <v>3.8934208047699781</v>
      </c>
      <c r="O18" s="45">
        <f>(C36-C32)/C57</f>
        <v>3.5278833517276511</v>
      </c>
      <c r="U18" s="35" t="s">
        <v>58</v>
      </c>
      <c r="V18" s="55">
        <f>V8-V17</f>
        <v>113879.69</v>
      </c>
    </row>
    <row r="19" spans="1:22" ht="16.5" customHeight="1" x14ac:dyDescent="0.2">
      <c r="A19" s="10" t="s">
        <v>47</v>
      </c>
      <c r="B19" s="13">
        <f>SUM(B10:B18)</f>
        <v>157050</v>
      </c>
      <c r="C19" s="13">
        <f>SUM(C10:C18)</f>
        <v>238500</v>
      </c>
      <c r="E19" s="10" t="s">
        <v>47</v>
      </c>
      <c r="F19" s="33"/>
      <c r="G19" s="31">
        <f t="shared" si="0"/>
        <v>0.51862464183381096</v>
      </c>
      <c r="I19" s="10" t="s">
        <v>47</v>
      </c>
      <c r="J19" s="31">
        <f>B19/$B$19</f>
        <v>1</v>
      </c>
      <c r="K19" s="31">
        <f>C19/$C$19</f>
        <v>1</v>
      </c>
      <c r="M19" s="19" t="s">
        <v>88</v>
      </c>
      <c r="N19" s="45">
        <f>B35/B57</f>
        <v>2.0970775285224046</v>
      </c>
      <c r="O19" s="45">
        <f>C35/C57</f>
        <v>1.8681499278376772</v>
      </c>
    </row>
    <row r="20" spans="1:22" ht="16.5" customHeight="1" x14ac:dyDescent="0.2">
      <c r="A20" s="10" t="s">
        <v>48</v>
      </c>
      <c r="B20" s="14">
        <f>B8-B19</f>
        <v>78506.25</v>
      </c>
      <c r="C20" s="14">
        <f>C22+C21</f>
        <v>50000</v>
      </c>
      <c r="E20" s="10" t="s">
        <v>48</v>
      </c>
      <c r="F20" s="34"/>
      <c r="G20" s="31">
        <f t="shared" si="0"/>
        <v>-0.36310803279993631</v>
      </c>
      <c r="I20" s="10" t="s">
        <v>48</v>
      </c>
      <c r="J20" s="34"/>
      <c r="K20" s="31"/>
      <c r="M20" s="19" t="s">
        <v>38</v>
      </c>
      <c r="N20" s="19"/>
      <c r="O20" s="19"/>
    </row>
    <row r="21" spans="1:22" ht="16.5" customHeight="1" x14ac:dyDescent="0.2">
      <c r="A21" s="9" t="s">
        <v>69</v>
      </c>
      <c r="B21" s="14">
        <f>B20*0.25</f>
        <v>19626.5625</v>
      </c>
      <c r="C21" s="14">
        <v>12500</v>
      </c>
      <c r="E21" s="9" t="s">
        <v>69</v>
      </c>
      <c r="F21" s="19"/>
      <c r="G21" s="31">
        <f t="shared" si="0"/>
        <v>-0.36310803279993631</v>
      </c>
      <c r="I21" s="9" t="s">
        <v>69</v>
      </c>
      <c r="J21" s="19"/>
      <c r="K21" s="31"/>
      <c r="M21" s="19" t="s">
        <v>89</v>
      </c>
      <c r="N21" s="47">
        <f>(B5-B10+B6+B7-B11-B12-B14-B15-B16)/(B5+B6)</f>
        <v>0.37932268722466961</v>
      </c>
      <c r="O21" s="47">
        <f>(C5-C10+C6+C7-C11-C12-C14-C15-C16)/(C5+C6)</f>
        <v>0.1817391304347826</v>
      </c>
    </row>
    <row r="22" spans="1:22" ht="16.5" customHeight="1" x14ac:dyDescent="0.2">
      <c r="A22" s="11" t="s">
        <v>49</v>
      </c>
      <c r="B22" s="16">
        <f>B20-B21</f>
        <v>58879.6875</v>
      </c>
      <c r="C22" s="16">
        <v>37500</v>
      </c>
      <c r="E22" s="11" t="s">
        <v>49</v>
      </c>
      <c r="F22" s="35"/>
      <c r="G22" s="36">
        <f t="shared" si="0"/>
        <v>-0.36310803279993631</v>
      </c>
      <c r="I22" s="11" t="s">
        <v>49</v>
      </c>
      <c r="J22" s="35"/>
      <c r="K22" s="36"/>
      <c r="M22" s="19" t="s">
        <v>90</v>
      </c>
      <c r="N22" s="47">
        <f>B22/(B5+B6)</f>
        <v>0.25938188325991191</v>
      </c>
      <c r="O22" s="47">
        <f>C22/(C5+C6)</f>
        <v>0.13043478260869565</v>
      </c>
    </row>
    <row r="23" spans="1:22" ht="16.5" customHeight="1" x14ac:dyDescent="0.2">
      <c r="M23" s="19" t="s">
        <v>91</v>
      </c>
      <c r="N23" s="47">
        <f>B22/B40</f>
        <v>1.0705397727272727</v>
      </c>
      <c r="O23" s="47">
        <f>C22/(C40+C41+C42)</f>
        <v>0.32929489007214541</v>
      </c>
    </row>
    <row r="24" spans="1:22" ht="16.5" customHeight="1" x14ac:dyDescent="0.25">
      <c r="A24" s="23" t="s">
        <v>0</v>
      </c>
      <c r="B24" s="24"/>
      <c r="C24" s="25"/>
      <c r="E24" s="23" t="s">
        <v>98</v>
      </c>
      <c r="F24" s="24"/>
      <c r="G24" s="25"/>
      <c r="H24"/>
      <c r="I24" s="23" t="s">
        <v>98</v>
      </c>
      <c r="J24" s="24"/>
      <c r="K24" s="25"/>
      <c r="M24" s="19" t="s">
        <v>92</v>
      </c>
      <c r="N24" s="47">
        <f>B22/B37</f>
        <v>0.15373838486368635</v>
      </c>
      <c r="O24" s="47">
        <f>C22/(((B37)))</f>
        <v>9.7914742369993701E-2</v>
      </c>
    </row>
    <row r="25" spans="1:22" ht="16.5" customHeight="1" x14ac:dyDescent="0.25">
      <c r="A25" s="18"/>
      <c r="B25" s="12" t="s">
        <v>1</v>
      </c>
      <c r="C25" s="4" t="s">
        <v>2</v>
      </c>
      <c r="E25" s="7"/>
      <c r="F25" s="37" t="s">
        <v>1</v>
      </c>
      <c r="G25" s="37" t="s">
        <v>1</v>
      </c>
      <c r="H25"/>
      <c r="I25" s="7"/>
      <c r="J25" s="37" t="s">
        <v>1</v>
      </c>
      <c r="K25" s="37" t="s">
        <v>2</v>
      </c>
      <c r="M25" s="19" t="s">
        <v>44</v>
      </c>
      <c r="N25" s="19"/>
      <c r="O25" s="19"/>
    </row>
    <row r="26" spans="1:22" ht="16.5" customHeight="1" x14ac:dyDescent="0.25">
      <c r="A26" s="8" t="s">
        <v>3</v>
      </c>
      <c r="B26" s="17"/>
      <c r="C26" s="4"/>
      <c r="E26" s="8" t="s">
        <v>3</v>
      </c>
      <c r="F26" s="17"/>
      <c r="G26" s="17"/>
      <c r="H26"/>
      <c r="I26" s="8" t="s">
        <v>3</v>
      </c>
      <c r="J26" s="17"/>
      <c r="K26" s="17"/>
      <c r="M26" s="19" t="s">
        <v>93</v>
      </c>
      <c r="N26" s="47">
        <f>B44/B37</f>
        <v>0.29734668020065996</v>
      </c>
      <c r="O26" s="47">
        <f>C44/C37</f>
        <v>0.42017853099811148</v>
      </c>
    </row>
    <row r="27" spans="1:22" ht="16.5" customHeight="1" x14ac:dyDescent="0.25">
      <c r="A27" s="10" t="s">
        <v>4</v>
      </c>
      <c r="B27" s="17"/>
      <c r="C27" s="4"/>
      <c r="E27" s="10" t="s">
        <v>4</v>
      </c>
      <c r="F27" s="17"/>
      <c r="G27" s="17"/>
      <c r="H27"/>
      <c r="I27" s="10" t="s">
        <v>4</v>
      </c>
      <c r="J27" s="17"/>
      <c r="K27" s="17"/>
      <c r="M27" s="19" t="s">
        <v>94</v>
      </c>
      <c r="N27" s="47">
        <f>(B57+B49)/B37</f>
        <v>0.70265331979934009</v>
      </c>
      <c r="O27" s="47">
        <f>(C57+C49)/C37</f>
        <v>0.57982146900188858</v>
      </c>
    </row>
    <row r="28" spans="1:22" ht="16.5" customHeight="1" x14ac:dyDescent="0.25">
      <c r="A28" s="9" t="s">
        <v>70</v>
      </c>
      <c r="B28" s="27">
        <v>150000</v>
      </c>
      <c r="C28" s="21">
        <v>150000</v>
      </c>
      <c r="E28" s="9" t="s">
        <v>5</v>
      </c>
      <c r="F28" s="38"/>
      <c r="G28" s="31">
        <f t="shared" ref="G28:G37" si="2">(C28/B28-1)</f>
        <v>0</v>
      </c>
      <c r="H28"/>
      <c r="I28" s="9" t="s">
        <v>5</v>
      </c>
      <c r="J28" s="38">
        <f>B28/$B$58</f>
        <v>0.39165896947997481</v>
      </c>
      <c r="K28" s="38">
        <f>C28/$C$58</f>
        <v>0.41634898082904465</v>
      </c>
      <c r="M28" s="35" t="s">
        <v>95</v>
      </c>
      <c r="N28" s="48">
        <f>B44/(B49+B57)</f>
        <v>0.42317693778999665</v>
      </c>
      <c r="O28" s="48">
        <f>C44/(C49+C57)</f>
        <v>0.72466880490198426</v>
      </c>
    </row>
    <row r="29" spans="1:22" ht="16.5" customHeight="1" x14ac:dyDescent="0.25">
      <c r="A29" s="9" t="s">
        <v>6</v>
      </c>
      <c r="B29" s="27">
        <v>-3750</v>
      </c>
      <c r="C29" s="21">
        <f>-3750*2</f>
        <v>-7500</v>
      </c>
      <c r="E29" s="9" t="s">
        <v>6</v>
      </c>
      <c r="F29" s="38"/>
      <c r="G29" s="31">
        <f t="shared" si="2"/>
        <v>1</v>
      </c>
      <c r="H29"/>
      <c r="I29" s="9" t="s">
        <v>6</v>
      </c>
      <c r="J29" s="38">
        <f>B29/$B$58</f>
        <v>-9.7914742369993694E-3</v>
      </c>
      <c r="K29" s="38">
        <f t="shared" ref="K29:K30" si="3">C29/$C$58</f>
        <v>-2.0817449041452232E-2</v>
      </c>
    </row>
    <row r="30" spans="1:22" ht="16.5" customHeight="1" x14ac:dyDescent="0.25">
      <c r="A30" s="26" t="s">
        <v>7</v>
      </c>
      <c r="B30" s="13">
        <f>B28+B29</f>
        <v>146250</v>
      </c>
      <c r="C30" s="5">
        <f>C28+C29</f>
        <v>142500</v>
      </c>
      <c r="E30" s="26" t="s">
        <v>7</v>
      </c>
      <c r="F30" s="38"/>
      <c r="G30" s="31">
        <f t="shared" si="2"/>
        <v>-2.5641025641025661E-2</v>
      </c>
      <c r="H30"/>
      <c r="I30" s="26" t="s">
        <v>7</v>
      </c>
      <c r="J30" s="38">
        <f>B30/$B$58</f>
        <v>0.38186749524297542</v>
      </c>
      <c r="K30" s="38">
        <f t="shared" si="3"/>
        <v>0.39553153178759243</v>
      </c>
    </row>
    <row r="31" spans="1:22" ht="16.5" customHeight="1" x14ac:dyDescent="0.25">
      <c r="A31" s="10" t="s">
        <v>8</v>
      </c>
      <c r="B31" s="13"/>
      <c r="C31" s="5"/>
      <c r="E31" s="10" t="s">
        <v>8</v>
      </c>
      <c r="F31" s="39"/>
      <c r="G31" s="38"/>
      <c r="H31"/>
      <c r="I31" s="10" t="s">
        <v>8</v>
      </c>
      <c r="J31" s="39"/>
      <c r="K31" s="38"/>
    </row>
    <row r="32" spans="1:22" ht="16.5" customHeight="1" x14ac:dyDescent="0.25">
      <c r="A32" s="9" t="s">
        <v>9</v>
      </c>
      <c r="B32" s="13">
        <v>8556.25</v>
      </c>
      <c r="C32" s="5">
        <v>10000</v>
      </c>
      <c r="E32" s="9" t="s">
        <v>9</v>
      </c>
      <c r="F32" s="38"/>
      <c r="G32" s="31">
        <f t="shared" si="2"/>
        <v>0.1687363038714389</v>
      </c>
      <c r="H32"/>
      <c r="I32" s="9" t="s">
        <v>9</v>
      </c>
      <c r="J32" s="38">
        <f>B32/$B$58</f>
        <v>2.2340880384086895E-2</v>
      </c>
      <c r="K32" s="38">
        <f t="shared" ref="K32:K37" si="4">C32/$C$58</f>
        <v>2.775659872193631E-2</v>
      </c>
    </row>
    <row r="33" spans="1:11" ht="16.5" customHeight="1" x14ac:dyDescent="0.25">
      <c r="A33" s="9" t="s">
        <v>10</v>
      </c>
      <c r="B33" s="13">
        <v>68880</v>
      </c>
      <c r="C33" s="5">
        <v>75250</v>
      </c>
      <c r="E33" s="9" t="s">
        <v>10</v>
      </c>
      <c r="F33" s="38"/>
      <c r="G33" s="31">
        <f t="shared" si="2"/>
        <v>9.2479674796748013E-2</v>
      </c>
      <c r="H33"/>
      <c r="I33" s="9" t="s">
        <v>10</v>
      </c>
      <c r="J33" s="38">
        <f>B33/$B$58</f>
        <v>0.17984979878520443</v>
      </c>
      <c r="K33" s="38">
        <f t="shared" si="4"/>
        <v>0.20886840538257073</v>
      </c>
    </row>
    <row r="34" spans="1:11" ht="16.5" customHeight="1" x14ac:dyDescent="0.25">
      <c r="A34" s="9" t="s">
        <v>11</v>
      </c>
      <c r="B34" s="13">
        <v>36397.5</v>
      </c>
      <c r="C34" s="5">
        <v>22500</v>
      </c>
      <c r="E34" s="9" t="s">
        <v>11</v>
      </c>
      <c r="F34" s="38"/>
      <c r="G34" s="31">
        <f t="shared" si="2"/>
        <v>-0.38182567484030494</v>
      </c>
      <c r="H34"/>
      <c r="I34" s="9" t="s">
        <v>11</v>
      </c>
      <c r="J34" s="38">
        <f>B34/$B$58</f>
        <v>9.5036048944315887E-2</v>
      </c>
      <c r="K34" s="38">
        <f t="shared" si="4"/>
        <v>6.2452347124356697E-2</v>
      </c>
    </row>
    <row r="35" spans="1:11" ht="16.5" customHeight="1" x14ac:dyDescent="0.25">
      <c r="A35" s="9" t="s">
        <v>71</v>
      </c>
      <c r="B35" s="13">
        <v>122902.5</v>
      </c>
      <c r="C35" s="5">
        <f>51145+58879.69</f>
        <v>110024.69</v>
      </c>
      <c r="E35" s="9" t="s">
        <v>12</v>
      </c>
      <c r="F35" s="38"/>
      <c r="G35" s="31">
        <f t="shared" si="2"/>
        <v>-0.10478070014849172</v>
      </c>
      <c r="H35"/>
      <c r="I35" s="9" t="s">
        <v>12</v>
      </c>
      <c r="J35" s="38">
        <f>B35/$B$58</f>
        <v>0.32090577664341735</v>
      </c>
      <c r="K35" s="38">
        <f t="shared" si="4"/>
        <v>0.30539111698354388</v>
      </c>
    </row>
    <row r="36" spans="1:11" ht="16.5" customHeight="1" x14ac:dyDescent="0.25">
      <c r="A36" s="26" t="s">
        <v>13</v>
      </c>
      <c r="B36" s="13">
        <f>SUM(B32:B35)</f>
        <v>236736.25</v>
      </c>
      <c r="C36" s="5">
        <f>SUM(C32:C35)</f>
        <v>217774.69</v>
      </c>
      <c r="E36" s="26" t="s">
        <v>13</v>
      </c>
      <c r="F36" s="38"/>
      <c r="G36" s="31">
        <f t="shared" si="2"/>
        <v>-8.0095718336334221E-2</v>
      </c>
      <c r="H36"/>
      <c r="I36" s="26" t="s">
        <v>13</v>
      </c>
      <c r="J36" s="38">
        <f>B36/$B$58</f>
        <v>0.61813250475702453</v>
      </c>
      <c r="K36" s="38">
        <f t="shared" si="4"/>
        <v>0.60446846821240763</v>
      </c>
    </row>
    <row r="37" spans="1:11" ht="16.5" customHeight="1" x14ac:dyDescent="0.25">
      <c r="A37" s="10" t="s">
        <v>14</v>
      </c>
      <c r="B37" s="14">
        <f>B30+B36</f>
        <v>382986.25</v>
      </c>
      <c r="C37" s="6">
        <f>C30+C36</f>
        <v>360274.69</v>
      </c>
      <c r="E37" s="10" t="s">
        <v>14</v>
      </c>
      <c r="F37" s="32"/>
      <c r="G37" s="31">
        <f t="shared" si="2"/>
        <v>-5.9301241232550761E-2</v>
      </c>
      <c r="H37"/>
      <c r="I37" s="10" t="s">
        <v>14</v>
      </c>
      <c r="J37" s="38">
        <f>B37/$B$58</f>
        <v>1</v>
      </c>
      <c r="K37" s="38">
        <f t="shared" si="4"/>
        <v>1</v>
      </c>
    </row>
    <row r="38" spans="1:11" ht="16.5" customHeight="1" x14ac:dyDescent="0.25">
      <c r="A38" s="8" t="s">
        <v>15</v>
      </c>
      <c r="B38" s="13"/>
      <c r="C38" s="5"/>
      <c r="E38" s="8" t="s">
        <v>15</v>
      </c>
      <c r="F38" s="40"/>
      <c r="G38" s="40"/>
      <c r="H38"/>
      <c r="I38" s="8" t="s">
        <v>15</v>
      </c>
      <c r="J38" s="40"/>
      <c r="K38" s="40"/>
    </row>
    <row r="39" spans="1:11" ht="16.5" customHeight="1" x14ac:dyDescent="0.25">
      <c r="A39" s="10" t="s">
        <v>17</v>
      </c>
      <c r="B39" s="13"/>
      <c r="C39" s="5"/>
      <c r="E39" s="10" t="s">
        <v>17</v>
      </c>
      <c r="F39" s="40"/>
      <c r="G39" s="40"/>
      <c r="H39"/>
      <c r="I39" s="10" t="s">
        <v>17</v>
      </c>
      <c r="J39" s="40"/>
      <c r="K39" s="40"/>
    </row>
    <row r="40" spans="1:11" ht="16.5" customHeight="1" x14ac:dyDescent="0.25">
      <c r="A40" s="9" t="s">
        <v>72</v>
      </c>
      <c r="B40" s="13">
        <v>55000</v>
      </c>
      <c r="C40" s="5">
        <v>55000</v>
      </c>
      <c r="E40" s="9" t="s">
        <v>18</v>
      </c>
      <c r="F40" s="38"/>
      <c r="G40" s="31">
        <f t="shared" ref="G40:G44" si="5">(C40/B40-1)</f>
        <v>0</v>
      </c>
      <c r="H40"/>
      <c r="I40" s="9" t="s">
        <v>18</v>
      </c>
      <c r="J40" s="38">
        <f>B40/$B$58</f>
        <v>0.14360828880932411</v>
      </c>
      <c r="K40" s="38">
        <f t="shared" ref="K40:K44" si="6">C40/$C$58</f>
        <v>0.1526612929706497</v>
      </c>
    </row>
    <row r="41" spans="1:11" ht="16.5" customHeight="1" x14ac:dyDescent="0.25">
      <c r="A41" s="9" t="s">
        <v>19</v>
      </c>
      <c r="B41" s="13"/>
      <c r="C41" s="5">
        <f>B43-C42</f>
        <v>52991.721000000005</v>
      </c>
      <c r="E41" s="9" t="s">
        <v>19</v>
      </c>
      <c r="F41" s="38"/>
      <c r="G41" s="31" t="s">
        <v>50</v>
      </c>
      <c r="H41"/>
      <c r="I41" s="9" t="s">
        <v>19</v>
      </c>
      <c r="J41" s="38">
        <f>B41/$B$58</f>
        <v>0</v>
      </c>
      <c r="K41" s="38">
        <f t="shared" si="6"/>
        <v>0.14708699353818055</v>
      </c>
    </row>
    <row r="42" spans="1:11" ht="16.5" customHeight="1" x14ac:dyDescent="0.25">
      <c r="A42" s="9" t="s">
        <v>20</v>
      </c>
      <c r="B42" s="13"/>
      <c r="C42" s="5">
        <f>B43*0.1</f>
        <v>5887.969000000001</v>
      </c>
      <c r="E42" s="9" t="s">
        <v>20</v>
      </c>
      <c r="F42" s="38"/>
      <c r="G42" s="31" t="s">
        <v>50</v>
      </c>
      <c r="H42"/>
      <c r="I42" s="9" t="s">
        <v>20</v>
      </c>
      <c r="J42" s="38">
        <f>B42/$B$58</f>
        <v>0</v>
      </c>
      <c r="K42" s="38">
        <f t="shared" si="6"/>
        <v>1.6342999282020064E-2</v>
      </c>
    </row>
    <row r="43" spans="1:11" ht="16.5" customHeight="1" x14ac:dyDescent="0.25">
      <c r="A43" s="9" t="s">
        <v>73</v>
      </c>
      <c r="B43" s="13">
        <v>58879.69</v>
      </c>
      <c r="C43" s="5">
        <v>37500</v>
      </c>
      <c r="E43" s="9" t="s">
        <v>21</v>
      </c>
      <c r="F43" s="38"/>
      <c r="G43" s="31">
        <f t="shared" si="5"/>
        <v>-0.3631080598420271</v>
      </c>
      <c r="H43"/>
      <c r="I43" s="9" t="s">
        <v>21</v>
      </c>
      <c r="J43" s="38">
        <f>B43/$B$58</f>
        <v>0.15373839139133585</v>
      </c>
      <c r="K43" s="38">
        <f t="shared" si="6"/>
        <v>0.10408724520726116</v>
      </c>
    </row>
    <row r="44" spans="1:11" ht="16.5" customHeight="1" x14ac:dyDescent="0.25">
      <c r="A44" s="26" t="s">
        <v>22</v>
      </c>
      <c r="B44" s="13">
        <f>B40+B43</f>
        <v>113879.69</v>
      </c>
      <c r="C44" s="5">
        <f>SUM(C40:C43)</f>
        <v>151379.69</v>
      </c>
      <c r="E44" s="26" t="s">
        <v>22</v>
      </c>
      <c r="F44" s="38"/>
      <c r="G44" s="31">
        <f t="shared" si="5"/>
        <v>0.32929489007214552</v>
      </c>
      <c r="H44"/>
      <c r="I44" s="26" t="s">
        <v>22</v>
      </c>
      <c r="J44" s="38">
        <f>B44/$B$58</f>
        <v>0.29734668020065996</v>
      </c>
      <c r="K44" s="38">
        <f t="shared" si="6"/>
        <v>0.42017853099811148</v>
      </c>
    </row>
    <row r="45" spans="1:11" ht="16.5" customHeight="1" x14ac:dyDescent="0.25">
      <c r="A45" s="8" t="s">
        <v>23</v>
      </c>
      <c r="B45" s="13"/>
      <c r="C45" s="5"/>
      <c r="E45" s="8" t="s">
        <v>23</v>
      </c>
      <c r="F45" s="39"/>
      <c r="G45" s="39"/>
      <c r="H45"/>
      <c r="I45" s="8" t="s">
        <v>23</v>
      </c>
      <c r="J45" s="39"/>
      <c r="K45" s="39"/>
    </row>
    <row r="46" spans="1:11" ht="16.5" customHeight="1" x14ac:dyDescent="0.25">
      <c r="A46" s="10" t="s">
        <v>24</v>
      </c>
      <c r="B46" s="13"/>
      <c r="C46" s="5"/>
      <c r="E46" s="10" t="s">
        <v>24</v>
      </c>
      <c r="F46" s="39"/>
      <c r="G46" s="39"/>
      <c r="H46"/>
      <c r="I46" s="10" t="s">
        <v>24</v>
      </c>
      <c r="J46" s="39"/>
      <c r="K46" s="39"/>
    </row>
    <row r="47" spans="1:11" ht="16.5" customHeight="1" x14ac:dyDescent="0.25">
      <c r="A47" s="9" t="s">
        <v>25</v>
      </c>
      <c r="B47" s="13">
        <v>123000</v>
      </c>
      <c r="C47" s="5">
        <v>100000</v>
      </c>
      <c r="E47" s="9" t="s">
        <v>25</v>
      </c>
      <c r="F47" s="38"/>
      <c r="G47" s="31">
        <f t="shared" ref="G47:G49" si="7">(C47/B47-1)</f>
        <v>-0.18699186991869921</v>
      </c>
      <c r="H47"/>
      <c r="I47" s="9" t="s">
        <v>25</v>
      </c>
      <c r="J47" s="38">
        <f>B47/$B$58</f>
        <v>0.32116035497357937</v>
      </c>
      <c r="K47" s="38">
        <f t="shared" ref="K47:K49" si="8">C47/$C$58</f>
        <v>0.2775659872193631</v>
      </c>
    </row>
    <row r="48" spans="1:11" ht="16.5" customHeight="1" x14ac:dyDescent="0.25">
      <c r="A48" s="9" t="s">
        <v>26</v>
      </c>
      <c r="B48" s="13">
        <v>87500</v>
      </c>
      <c r="C48" s="5">
        <v>50000</v>
      </c>
      <c r="E48" s="9" t="s">
        <v>26</v>
      </c>
      <c r="F48" s="38"/>
      <c r="G48" s="31">
        <f t="shared" si="7"/>
        <v>-0.4285714285714286</v>
      </c>
      <c r="H48"/>
      <c r="I48" s="9" t="s">
        <v>26</v>
      </c>
      <c r="J48" s="38">
        <f>B48/$B$58</f>
        <v>0.22846773219665198</v>
      </c>
      <c r="K48" s="38">
        <f t="shared" si="8"/>
        <v>0.13878299360968155</v>
      </c>
    </row>
    <row r="49" spans="1:11" ht="16.5" customHeight="1" x14ac:dyDescent="0.25">
      <c r="A49" s="26" t="s">
        <v>27</v>
      </c>
      <c r="B49" s="13">
        <f>B47+B48</f>
        <v>210500</v>
      </c>
      <c r="C49" s="5">
        <f>C47+C48</f>
        <v>150000</v>
      </c>
      <c r="E49" s="26" t="s">
        <v>27</v>
      </c>
      <c r="F49" s="38"/>
      <c r="G49" s="31">
        <f t="shared" si="7"/>
        <v>-0.28741092636579568</v>
      </c>
      <c r="H49"/>
      <c r="I49" s="26" t="s">
        <v>27</v>
      </c>
      <c r="J49" s="38">
        <f>B49/$B$58</f>
        <v>0.54962808717023126</v>
      </c>
      <c r="K49" s="38">
        <f t="shared" si="8"/>
        <v>0.41634898082904465</v>
      </c>
    </row>
    <row r="50" spans="1:11" ht="16.5" customHeight="1" x14ac:dyDescent="0.25">
      <c r="A50" s="9" t="s">
        <v>28</v>
      </c>
      <c r="B50" s="13"/>
      <c r="C50" s="5"/>
      <c r="E50" s="9" t="s">
        <v>28</v>
      </c>
      <c r="F50" s="39"/>
      <c r="G50" s="39"/>
      <c r="H50"/>
      <c r="I50" s="9" t="s">
        <v>28</v>
      </c>
      <c r="J50" s="39"/>
      <c r="K50" s="39"/>
    </row>
    <row r="51" spans="1:11" ht="16.5" customHeight="1" x14ac:dyDescent="0.25">
      <c r="A51" s="9" t="s">
        <v>29</v>
      </c>
      <c r="B51" s="13">
        <v>16560</v>
      </c>
      <c r="C51" s="5">
        <v>19500</v>
      </c>
      <c r="E51" s="9" t="s">
        <v>29</v>
      </c>
      <c r="F51" s="38"/>
      <c r="G51" s="31">
        <f t="shared" ref="G51:G58" si="9">(C51/B51-1)</f>
        <v>0.17753623188405787</v>
      </c>
      <c r="H51"/>
      <c r="I51" s="9" t="s">
        <v>29</v>
      </c>
      <c r="J51" s="38">
        <f>B51/$B$58</f>
        <v>4.3239150230589218E-2</v>
      </c>
      <c r="K51" s="38">
        <f t="shared" ref="K51:K58" si="10">C51/$C$58</f>
        <v>5.4125367507775801E-2</v>
      </c>
    </row>
    <row r="52" spans="1:11" ht="16.5" customHeight="1" x14ac:dyDescent="0.25">
      <c r="A52" s="9" t="s">
        <v>30</v>
      </c>
      <c r="B52" s="13">
        <v>695</v>
      </c>
      <c r="C52" s="5">
        <v>695</v>
      </c>
      <c r="E52" s="9" t="s">
        <v>30</v>
      </c>
      <c r="F52" s="38"/>
      <c r="G52" s="31">
        <f t="shared" si="9"/>
        <v>0</v>
      </c>
      <c r="H52"/>
      <c r="I52" s="9" t="s">
        <v>30</v>
      </c>
      <c r="J52" s="38">
        <f>B52/$B$58</f>
        <v>1.8146865585905499E-3</v>
      </c>
      <c r="K52" s="38">
        <f t="shared" si="10"/>
        <v>1.9290836111745735E-3</v>
      </c>
    </row>
    <row r="53" spans="1:11" ht="16.5" customHeight="1" x14ac:dyDescent="0.25">
      <c r="A53" s="9" t="s">
        <v>32</v>
      </c>
      <c r="B53" s="13">
        <v>200</v>
      </c>
      <c r="C53" s="5">
        <v>200</v>
      </c>
      <c r="E53" s="9" t="s">
        <v>32</v>
      </c>
      <c r="F53" s="38"/>
      <c r="G53" s="31">
        <f t="shared" si="9"/>
        <v>0</v>
      </c>
      <c r="H53"/>
      <c r="I53" s="9" t="s">
        <v>32</v>
      </c>
      <c r="J53" s="38">
        <f>B53/$B$58</f>
        <v>5.2221195930663312E-4</v>
      </c>
      <c r="K53" s="38">
        <f t="shared" si="10"/>
        <v>5.5513197443872616E-4</v>
      </c>
    </row>
    <row r="54" spans="1:11" ht="16.5" customHeight="1" x14ac:dyDescent="0.25">
      <c r="A54" s="9" t="s">
        <v>33</v>
      </c>
      <c r="B54" s="13">
        <v>19626.560000000001</v>
      </c>
      <c r="C54" s="5">
        <f>C43/0.75*0.25</f>
        <v>12500</v>
      </c>
      <c r="E54" s="9" t="s">
        <v>33</v>
      </c>
      <c r="F54" s="38"/>
      <c r="G54" s="31">
        <f t="shared" si="9"/>
        <v>-0.3631079516736504</v>
      </c>
      <c r="H54"/>
      <c r="I54" s="9" t="s">
        <v>33</v>
      </c>
      <c r="J54" s="38">
        <f>B54/$B$58</f>
        <v>5.1246121760245962E-2</v>
      </c>
      <c r="K54" s="38">
        <f t="shared" si="10"/>
        <v>3.4695748402420387E-2</v>
      </c>
    </row>
    <row r="55" spans="1:11" ht="16.5" customHeight="1" x14ac:dyDescent="0.25">
      <c r="A55" s="9" t="s">
        <v>34</v>
      </c>
      <c r="B55" s="13">
        <v>15990</v>
      </c>
      <c r="C55" s="5">
        <v>19500</v>
      </c>
      <c r="E55" s="9" t="s">
        <v>34</v>
      </c>
      <c r="F55" s="38"/>
      <c r="G55" s="31">
        <f t="shared" si="9"/>
        <v>0.21951219512195119</v>
      </c>
      <c r="H55"/>
      <c r="I55" s="9" t="s">
        <v>34</v>
      </c>
      <c r="J55" s="38">
        <f>B55/$B$58</f>
        <v>4.1750846146565317E-2</v>
      </c>
      <c r="K55" s="38">
        <f t="shared" si="10"/>
        <v>5.4125367507775801E-2</v>
      </c>
    </row>
    <row r="56" spans="1:11" ht="16.5" customHeight="1" x14ac:dyDescent="0.25">
      <c r="A56" s="9" t="s">
        <v>35</v>
      </c>
      <c r="B56" s="13">
        <v>5535</v>
      </c>
      <c r="C56" s="5">
        <v>6500</v>
      </c>
      <c r="E56" s="9" t="s">
        <v>35</v>
      </c>
      <c r="F56" s="38"/>
      <c r="G56" s="31">
        <f t="shared" si="9"/>
        <v>0.17434507678410127</v>
      </c>
      <c r="H56"/>
      <c r="I56" s="9" t="s">
        <v>35</v>
      </c>
      <c r="J56" s="38">
        <f>B56/$B$58</f>
        <v>1.4452215973811071E-2</v>
      </c>
      <c r="K56" s="38">
        <f t="shared" si="10"/>
        <v>1.8041789169258599E-2</v>
      </c>
    </row>
    <row r="57" spans="1:11" ht="16.5" customHeight="1" x14ac:dyDescent="0.25">
      <c r="A57" s="26" t="s">
        <v>36</v>
      </c>
      <c r="B57" s="13">
        <f>SUM(B51:B56)</f>
        <v>58606.559999999998</v>
      </c>
      <c r="C57" s="5">
        <f>SUM(C51:C56)</f>
        <v>58895</v>
      </c>
      <c r="E57" s="26" t="s">
        <v>36</v>
      </c>
      <c r="F57" s="38"/>
      <c r="G57" s="31">
        <f t="shared" si="9"/>
        <v>4.9216333461647999E-3</v>
      </c>
      <c r="H57"/>
      <c r="I57" s="26" t="s">
        <v>36</v>
      </c>
      <c r="J57" s="38">
        <f>B57/$B$58</f>
        <v>0.15302523262910875</v>
      </c>
      <c r="K57" s="38">
        <f t="shared" si="10"/>
        <v>0.1634724881728439</v>
      </c>
    </row>
    <row r="58" spans="1:11" ht="16.5" customHeight="1" x14ac:dyDescent="0.25">
      <c r="A58" s="11" t="s">
        <v>37</v>
      </c>
      <c r="B58" s="28">
        <f>B44+B49+B57</f>
        <v>382986.25</v>
      </c>
      <c r="C58" s="22">
        <f>C44+C49+C57</f>
        <v>360274.69</v>
      </c>
      <c r="E58" s="11" t="s">
        <v>37</v>
      </c>
      <c r="F58" s="41"/>
      <c r="G58" s="36">
        <f t="shared" si="9"/>
        <v>-5.9301241232550761E-2</v>
      </c>
      <c r="H58"/>
      <c r="I58" s="11" t="s">
        <v>37</v>
      </c>
      <c r="J58" s="42">
        <f>B58/$B$58</f>
        <v>1</v>
      </c>
      <c r="K58" s="42">
        <f t="shared" si="10"/>
        <v>1</v>
      </c>
    </row>
    <row r="59" spans="1:11" ht="16.5" customHeight="1" x14ac:dyDescent="0.25">
      <c r="E59"/>
      <c r="F59"/>
      <c r="G59"/>
      <c r="H59"/>
      <c r="I59"/>
      <c r="J59"/>
      <c r="K59"/>
    </row>
    <row r="60" spans="1:11" ht="16.5" customHeight="1" x14ac:dyDescent="0.25">
      <c r="E60"/>
      <c r="F60"/>
      <c r="G60"/>
      <c r="H60"/>
      <c r="I60"/>
      <c r="J60"/>
      <c r="K60"/>
    </row>
    <row r="61" spans="1:11" ht="16.5" customHeight="1" x14ac:dyDescent="0.25">
      <c r="E61"/>
      <c r="F61"/>
      <c r="G61"/>
      <c r="H61"/>
      <c r="I61"/>
      <c r="J61"/>
      <c r="K61"/>
    </row>
    <row r="62" spans="1:11" ht="16.5" customHeight="1" x14ac:dyDescent="0.25">
      <c r="E62"/>
      <c r="F62"/>
      <c r="G62"/>
      <c r="H62"/>
      <c r="I62"/>
      <c r="J62"/>
      <c r="K62"/>
    </row>
  </sheetData>
  <sheetProtection algorithmName="SHA-512" hashValue="i3720LMOfuecW69k6dXHdBpFFIDe5/yH+t19qJudRKxmdIoxfMYYdN4s2RHOd2iEP4e3O9VNFpo+FrELq6lxQA==" saltValue="zVrusd4Ikau4FqoxhMzh/g==" spinCount="100000" sheet="1" objects="1" scenarios="1"/>
  <mergeCells count="8">
    <mergeCell ref="I1:K1"/>
    <mergeCell ref="I24:K24"/>
    <mergeCell ref="M1:O1"/>
    <mergeCell ref="U1:V1"/>
    <mergeCell ref="A24:C24"/>
    <mergeCell ref="A1:C1"/>
    <mergeCell ref="E24:G24"/>
    <mergeCell ref="E1:G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Ferreira</dc:creator>
  <cp:lastModifiedBy>Paulo Ferreira</cp:lastModifiedBy>
  <dcterms:created xsi:type="dcterms:W3CDTF">2014-08-23T20:44:20Z</dcterms:created>
  <dcterms:modified xsi:type="dcterms:W3CDTF">2014-09-28T17:37:39Z</dcterms:modified>
</cp:coreProperties>
</file>