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0" yWindow="0" windowWidth="21570" windowHeight="814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K40" i="1" l="1"/>
  <c r="K43" i="1"/>
  <c r="K41" i="1" s="1"/>
  <c r="K42" i="1"/>
  <c r="H28" i="1"/>
  <c r="B29" i="1" s="1"/>
  <c r="K27" i="1"/>
  <c r="K28" i="1" s="1"/>
  <c r="E31" i="1" s="1"/>
  <c r="H15" i="1"/>
  <c r="B16" i="1" s="1"/>
  <c r="C16" i="1" s="1"/>
  <c r="K14" i="1"/>
  <c r="K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H2" i="1"/>
  <c r="B3" i="1" s="1"/>
  <c r="C3" i="1" l="1"/>
  <c r="F3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F16" i="1"/>
  <c r="G16" i="1" s="1"/>
  <c r="E32" i="1"/>
  <c r="C29" i="1"/>
  <c r="H29" i="1"/>
  <c r="B30" i="1" s="1"/>
  <c r="E42" i="1"/>
  <c r="H41" i="1"/>
  <c r="B42" i="1" s="1"/>
  <c r="D16" i="1"/>
  <c r="H16" i="1" s="1"/>
  <c r="B17" i="1" s="1"/>
  <c r="C17" i="1" s="1"/>
  <c r="F17" i="1" s="1"/>
  <c r="C30" i="1" l="1"/>
  <c r="H30" i="1"/>
  <c r="B31" i="1" s="1"/>
  <c r="E3" i="1"/>
  <c r="G3" i="1" s="1"/>
  <c r="E33" i="1"/>
  <c r="E34" i="1" s="1"/>
  <c r="E35" i="1" s="1"/>
  <c r="E36" i="1" s="1"/>
  <c r="E37" i="1" s="1"/>
  <c r="E38" i="1" s="1"/>
  <c r="F29" i="1"/>
  <c r="G29" i="1" s="1"/>
  <c r="C42" i="1"/>
  <c r="F42" i="1" s="1"/>
  <c r="G42" i="1" s="1"/>
  <c r="E43" i="1"/>
  <c r="H3" i="1"/>
  <c r="B4" i="1" s="1"/>
  <c r="D42" i="1" l="1"/>
  <c r="H42" i="1" s="1"/>
  <c r="B43" i="1" s="1"/>
  <c r="C43" i="1" s="1"/>
  <c r="F43" i="1" s="1"/>
  <c r="G43" i="1" s="1"/>
  <c r="E44" i="1"/>
  <c r="C31" i="1"/>
  <c r="C4" i="1"/>
  <c r="F4" i="1" s="1"/>
  <c r="H4" i="1"/>
  <c r="B5" i="1" s="1"/>
  <c r="F30" i="1"/>
  <c r="G30" i="1" s="1"/>
  <c r="G17" i="1"/>
  <c r="D17" i="1"/>
  <c r="H17" i="1" s="1"/>
  <c r="B18" i="1" s="1"/>
  <c r="C18" i="1" s="1"/>
  <c r="F18" i="1" s="1"/>
  <c r="F31" i="1" l="1"/>
  <c r="D31" i="1"/>
  <c r="H31" i="1" s="1"/>
  <c r="B32" i="1" s="1"/>
  <c r="D43" i="1"/>
  <c r="H43" i="1" s="1"/>
  <c r="B44" i="1" s="1"/>
  <c r="C44" i="1" s="1"/>
  <c r="F44" i="1" s="1"/>
  <c r="G44" i="1" s="1"/>
  <c r="C5" i="1"/>
  <c r="F5" i="1" s="1"/>
  <c r="H5" i="1"/>
  <c r="B6" i="1" s="1"/>
  <c r="E45" i="1"/>
  <c r="D18" i="1"/>
  <c r="H18" i="1" s="1"/>
  <c r="B19" i="1" s="1"/>
  <c r="G18" i="1"/>
  <c r="G31" i="1" l="1"/>
  <c r="D44" i="1"/>
  <c r="H44" i="1" s="1"/>
  <c r="B45" i="1" s="1"/>
  <c r="C45" i="1" s="1"/>
  <c r="F45" i="1" s="1"/>
  <c r="G45" i="1" s="1"/>
  <c r="E46" i="1"/>
  <c r="C6" i="1"/>
  <c r="F6" i="1" s="1"/>
  <c r="H6" i="1"/>
  <c r="B7" i="1" s="1"/>
  <c r="C32" i="1"/>
  <c r="C19" i="1"/>
  <c r="F32" i="1" l="1"/>
  <c r="D32" i="1"/>
  <c r="E47" i="1"/>
  <c r="C7" i="1"/>
  <c r="F7" i="1" s="1"/>
  <c r="H7" i="1"/>
  <c r="B8" i="1" s="1"/>
  <c r="D45" i="1"/>
  <c r="H45" i="1" s="1"/>
  <c r="B46" i="1" s="1"/>
  <c r="C46" i="1" s="1"/>
  <c r="F46" i="1" s="1"/>
  <c r="G46" i="1" s="1"/>
  <c r="F19" i="1"/>
  <c r="G19" i="1" s="1"/>
  <c r="D19" i="1"/>
  <c r="H19" i="1" s="1"/>
  <c r="B20" i="1" s="1"/>
  <c r="C20" i="1" s="1"/>
  <c r="C8" i="1" l="1"/>
  <c r="F8" i="1" s="1"/>
  <c r="H8" i="1"/>
  <c r="B9" i="1" s="1"/>
  <c r="D46" i="1"/>
  <c r="H46" i="1" s="1"/>
  <c r="B47" i="1" s="1"/>
  <c r="C47" i="1" s="1"/>
  <c r="F47" i="1" s="1"/>
  <c r="G47" i="1" s="1"/>
  <c r="E48" i="1"/>
  <c r="G32" i="1"/>
  <c r="H32" i="1"/>
  <c r="B33" i="1" s="1"/>
  <c r="C33" i="1" s="1"/>
  <c r="D20" i="1"/>
  <c r="H20" i="1" s="1"/>
  <c r="B21" i="1" s="1"/>
  <c r="C21" i="1" s="1"/>
  <c r="F21" i="1" s="1"/>
  <c r="F20" i="1"/>
  <c r="G20" i="1" s="1"/>
  <c r="D47" i="1" l="1"/>
  <c r="H47" i="1" s="1"/>
  <c r="B48" i="1" s="1"/>
  <c r="C48" i="1" s="1"/>
  <c r="F48" i="1" s="1"/>
  <c r="G48" i="1" s="1"/>
  <c r="D33" i="1"/>
  <c r="H33" i="1" s="1"/>
  <c r="B34" i="1" s="1"/>
  <c r="C34" i="1" s="1"/>
  <c r="F33" i="1"/>
  <c r="E49" i="1"/>
  <c r="C9" i="1"/>
  <c r="F9" i="1" s="1"/>
  <c r="H9" i="1"/>
  <c r="B10" i="1" s="1"/>
  <c r="G21" i="1"/>
  <c r="D21" i="1"/>
  <c r="H21" i="1" s="1"/>
  <c r="B22" i="1" s="1"/>
  <c r="C22" i="1" s="1"/>
  <c r="F22" i="1" s="1"/>
  <c r="D48" i="1" l="1"/>
  <c r="H48" i="1" s="1"/>
  <c r="B49" i="1" s="1"/>
  <c r="C49" i="1" s="1"/>
  <c r="F49" i="1" s="1"/>
  <c r="G49" i="1" s="1"/>
  <c r="C10" i="1"/>
  <c r="F10" i="1" s="1"/>
  <c r="H10" i="1"/>
  <c r="B11" i="1" s="1"/>
  <c r="F34" i="1"/>
  <c r="D34" i="1"/>
  <c r="H34" i="1" s="1"/>
  <c r="B35" i="1" s="1"/>
  <c r="C35" i="1" s="1"/>
  <c r="E50" i="1"/>
  <c r="G33" i="1"/>
  <c r="D49" i="1" l="1"/>
  <c r="H49" i="1" s="1"/>
  <c r="B50" i="1" s="1"/>
  <c r="C50" i="1" s="1"/>
  <c r="F50" i="1" s="1"/>
  <c r="G50" i="1" s="1"/>
  <c r="G34" i="1"/>
  <c r="E51" i="1"/>
  <c r="D35" i="1"/>
  <c r="H35" i="1" s="1"/>
  <c r="B36" i="1" s="1"/>
  <c r="C36" i="1" s="1"/>
  <c r="F35" i="1"/>
  <c r="C11" i="1"/>
  <c r="F11" i="1" s="1"/>
  <c r="H11" i="1"/>
  <c r="B12" i="1" s="1"/>
  <c r="G22" i="1"/>
  <c r="D22" i="1"/>
  <c r="H22" i="1" s="1"/>
  <c r="B23" i="1" s="1"/>
  <c r="C23" i="1" s="1"/>
  <c r="F23" i="1" s="1"/>
  <c r="D50" i="1" l="1"/>
  <c r="H50" i="1" s="1"/>
  <c r="D51" i="1" s="1"/>
  <c r="H12" i="1"/>
  <c r="C12" i="1"/>
  <c r="F12" i="1" s="1"/>
  <c r="G35" i="1"/>
  <c r="F36" i="1"/>
  <c r="D36" i="1"/>
  <c r="H36" i="1" s="1"/>
  <c r="B37" i="1" s="1"/>
  <c r="C37" i="1" s="1"/>
  <c r="B51" i="1" l="1"/>
  <c r="C51" i="1" s="1"/>
  <c r="F51" i="1" s="1"/>
  <c r="G51" i="1" s="1"/>
  <c r="G36" i="1"/>
  <c r="D37" i="1"/>
  <c r="H37" i="1" s="1"/>
  <c r="F37" i="1"/>
  <c r="G37" i="1" s="1"/>
  <c r="G23" i="1"/>
  <c r="D23" i="1"/>
  <c r="H23" i="1" s="1"/>
  <c r="B24" i="1" s="1"/>
  <c r="C24" i="1" s="1"/>
  <c r="F24" i="1" s="1"/>
  <c r="H51" i="1" l="1"/>
  <c r="D38" i="1"/>
  <c r="B38" i="1"/>
  <c r="C38" i="1" l="1"/>
  <c r="F38" i="1" s="1"/>
  <c r="G38" i="1" s="1"/>
  <c r="H38" i="1"/>
  <c r="G24" i="1"/>
  <c r="D24" i="1"/>
  <c r="H24" i="1" s="1"/>
  <c r="B25" i="1" l="1"/>
  <c r="C25" i="1" s="1"/>
  <c r="F25" i="1" s="1"/>
  <c r="D25" i="1"/>
  <c r="O34" i="1" l="1"/>
  <c r="O41" i="1" s="1"/>
  <c r="O42" i="1" s="1"/>
  <c r="O46" i="1" s="1"/>
  <c r="O47" i="1" s="1"/>
  <c r="P32" i="1"/>
  <c r="P5" i="1" l="1"/>
  <c r="P6" i="1" l="1"/>
  <c r="P7" i="1" s="1"/>
  <c r="Y10" i="1"/>
  <c r="Z8" i="1"/>
  <c r="Z7" i="1"/>
  <c r="Z6" i="1"/>
  <c r="Z5" i="1"/>
  <c r="Z4" i="1"/>
  <c r="Z3" i="1"/>
  <c r="Z10" i="1" s="1"/>
  <c r="Z2" i="1"/>
  <c r="N63" i="1"/>
  <c r="T68" i="1" s="1"/>
  <c r="O57" i="1"/>
  <c r="O55" i="1"/>
  <c r="P18" i="1"/>
  <c r="Q18" i="1" s="1"/>
  <c r="R18" i="1" s="1"/>
  <c r="S18" i="1" s="1"/>
  <c r="T18" i="1" s="1"/>
  <c r="T17" i="1"/>
  <c r="S17" i="1"/>
  <c r="R17" i="1"/>
  <c r="Q17" i="1"/>
  <c r="P17" i="1"/>
  <c r="Q16" i="1"/>
  <c r="P16" i="1"/>
  <c r="P13" i="1"/>
  <c r="R9" i="1"/>
  <c r="S9" i="1" s="1"/>
  <c r="S8" i="1"/>
  <c r="Q4" i="1"/>
  <c r="Q3" i="1"/>
  <c r="R3" i="1" s="1"/>
  <c r="AA10" i="1" l="1"/>
  <c r="P40" i="1"/>
  <c r="P27" i="1"/>
  <c r="Q5" i="1"/>
  <c r="Q6" i="1" s="1"/>
  <c r="Q7" i="1" s="1"/>
  <c r="R68" i="1"/>
  <c r="R4" i="1"/>
  <c r="S3" i="1"/>
  <c r="T9" i="1"/>
  <c r="T16" i="1" s="1"/>
  <c r="S16" i="1"/>
  <c r="P14" i="1"/>
  <c r="P43" i="1" s="1"/>
  <c r="P45" i="1" s="1"/>
  <c r="P15" i="1"/>
  <c r="P30" i="1" s="1"/>
  <c r="O58" i="1"/>
  <c r="O59" i="1" s="1"/>
  <c r="O60" i="1" s="1"/>
  <c r="O67" i="1" s="1"/>
  <c r="O74" i="1" s="1"/>
  <c r="O75" i="1" s="1"/>
  <c r="Q13" i="1"/>
  <c r="R16" i="1"/>
  <c r="O68" i="1"/>
  <c r="P68" i="1"/>
  <c r="T8" i="1"/>
  <c r="Q68" i="1"/>
  <c r="P39" i="1"/>
  <c r="S68" i="1"/>
  <c r="Q39" i="1" l="1"/>
  <c r="Q40" i="1"/>
  <c r="P20" i="1"/>
  <c r="R5" i="1"/>
  <c r="R39" i="1" s="1"/>
  <c r="S4" i="1"/>
  <c r="S13" i="1" s="1"/>
  <c r="R13" i="1"/>
  <c r="O69" i="1"/>
  <c r="O70" i="1" s="1"/>
  <c r="P29" i="1"/>
  <c r="P33" i="1" s="1"/>
  <c r="P34" i="1" s="1"/>
  <c r="P41" i="1" s="1"/>
  <c r="P42" i="1" s="1"/>
  <c r="P46" i="1" s="1"/>
  <c r="Q27" i="1"/>
  <c r="Q15" i="1"/>
  <c r="Q30" i="1" s="1"/>
  <c r="Q14" i="1"/>
  <c r="Q43" i="1" s="1"/>
  <c r="T3" i="1"/>
  <c r="Q42" i="1" l="1"/>
  <c r="Q32" i="1"/>
  <c r="P21" i="1"/>
  <c r="P22" i="1" s="1"/>
  <c r="Q20" i="1"/>
  <c r="S40" i="1"/>
  <c r="R40" i="1"/>
  <c r="R42" i="1" s="1"/>
  <c r="R6" i="1"/>
  <c r="R7" i="1" s="1"/>
  <c r="R27" i="1"/>
  <c r="S5" i="1"/>
  <c r="S39" i="1" s="1"/>
  <c r="T4" i="1"/>
  <c r="T13" i="1" s="1"/>
  <c r="S27" i="1"/>
  <c r="Q29" i="1"/>
  <c r="P23" i="1" l="1"/>
  <c r="P52" i="1" s="1"/>
  <c r="P55" i="1" s="1"/>
  <c r="S42" i="1"/>
  <c r="Q33" i="1"/>
  <c r="Q35" i="1" s="1"/>
  <c r="Q36" i="1" s="1"/>
  <c r="Q21" i="1"/>
  <c r="Q22" i="1" s="1"/>
  <c r="T40" i="1"/>
  <c r="T27" i="1"/>
  <c r="S6" i="1"/>
  <c r="S7" i="1" s="1"/>
  <c r="T5" i="1"/>
  <c r="T6" i="1" s="1"/>
  <c r="T7" i="1" s="1"/>
  <c r="R15" i="1"/>
  <c r="R30" i="1" s="1"/>
  <c r="R14" i="1"/>
  <c r="Q23" i="1" l="1"/>
  <c r="Q52" i="1" s="1"/>
  <c r="Q55" i="1" s="1"/>
  <c r="T39" i="1"/>
  <c r="T42" i="1" s="1"/>
  <c r="R43" i="1"/>
  <c r="R20" i="1"/>
  <c r="S14" i="1"/>
  <c r="S15" i="1"/>
  <c r="S30" i="1" s="1"/>
  <c r="T14" i="1"/>
  <c r="T15" i="1"/>
  <c r="T30" i="1" s="1"/>
  <c r="R29" i="1"/>
  <c r="R33" i="1" s="1"/>
  <c r="R35" i="1" l="1"/>
  <c r="R36" i="1"/>
  <c r="R44" i="1"/>
  <c r="R45" i="1" s="1"/>
  <c r="R46" i="1" s="1"/>
  <c r="R21" i="1"/>
  <c r="R22" i="1" s="1"/>
  <c r="S43" i="1"/>
  <c r="S20" i="1"/>
  <c r="T43" i="1"/>
  <c r="T20" i="1"/>
  <c r="S29" i="1"/>
  <c r="S33" i="1" s="1"/>
  <c r="T29" i="1"/>
  <c r="T33" i="1" s="1"/>
  <c r="T36" i="1" l="1"/>
  <c r="T35" i="1"/>
  <c r="S36" i="1"/>
  <c r="S35" i="1"/>
  <c r="R23" i="1"/>
  <c r="R52" i="1" s="1"/>
  <c r="R55" i="1" s="1"/>
  <c r="S44" i="1"/>
  <c r="S45" i="1" s="1"/>
  <c r="S46" i="1" s="1"/>
  <c r="S47" i="1" s="1"/>
  <c r="T44" i="1"/>
  <c r="T45" i="1" s="1"/>
  <c r="T46" i="1" s="1"/>
  <c r="S21" i="1"/>
  <c r="S22" i="1" s="1"/>
  <c r="T21" i="1"/>
  <c r="T22" i="1" s="1"/>
  <c r="S23" i="1" l="1"/>
  <c r="S52" i="1" s="1"/>
  <c r="S55" i="1" s="1"/>
  <c r="T23" i="1"/>
  <c r="T52" i="1" s="1"/>
  <c r="T53" i="1"/>
  <c r="S58" i="1"/>
  <c r="S59" i="1" s="1"/>
  <c r="T55" i="1" l="1"/>
  <c r="S60" i="1"/>
  <c r="S67" i="1" s="1"/>
  <c r="S69" i="1" s="1"/>
  <c r="T47" i="1"/>
  <c r="T58" i="1" s="1"/>
  <c r="T59" i="1" s="1"/>
  <c r="S74" i="1" l="1"/>
  <c r="S77" i="1" s="1"/>
  <c r="T60" i="1"/>
  <c r="T67" i="1" s="1"/>
  <c r="T74" i="1" s="1"/>
  <c r="T77" i="1" s="1"/>
  <c r="Q44" i="1"/>
  <c r="Q45" i="1" s="1"/>
  <c r="Q46" i="1" s="1"/>
  <c r="T69" i="1" l="1"/>
  <c r="P47" i="1"/>
  <c r="P58" i="1" s="1"/>
  <c r="P59" i="1" s="1"/>
  <c r="P60" i="1" s="1"/>
  <c r="P67" i="1" s="1"/>
  <c r="P69" i="1" l="1"/>
  <c r="P70" i="1" s="1"/>
  <c r="P74" i="1"/>
  <c r="P75" i="1" s="1"/>
  <c r="R47" i="1"/>
  <c r="R58" i="1" s="1"/>
  <c r="R59" i="1" s="1"/>
  <c r="R60" i="1" s="1"/>
  <c r="R67" i="1" s="1"/>
  <c r="Q47" i="1"/>
  <c r="Q58" i="1" s="1"/>
  <c r="Q59" i="1" s="1"/>
  <c r="Q60" i="1" s="1"/>
  <c r="Q67" i="1" s="1"/>
  <c r="Q69" i="1" l="1"/>
  <c r="Q70" i="1" s="1"/>
  <c r="Q74" i="1"/>
  <c r="Q77" i="1" s="1"/>
  <c r="R74" i="1"/>
  <c r="R77" i="1" s="1"/>
  <c r="R69" i="1"/>
  <c r="W71" i="1"/>
  <c r="P77" i="1"/>
  <c r="W70" i="1"/>
  <c r="T78" i="1" l="1"/>
  <c r="T79" i="1" s="1"/>
  <c r="Q75" i="1"/>
  <c r="R75" i="1" s="1"/>
  <c r="W75" i="1" s="1"/>
  <c r="R70" i="1"/>
  <c r="S70" i="1" s="1"/>
  <c r="T70" i="1" s="1"/>
  <c r="S75" i="1" l="1"/>
  <c r="T75" i="1" s="1"/>
  <c r="H25" i="1" l="1"/>
  <c r="G25" i="1"/>
</calcChain>
</file>

<file path=xl/sharedStrings.xml><?xml version="1.0" encoding="utf-8"?>
<sst xmlns="http://schemas.openxmlformats.org/spreadsheetml/2006/main" count="137" uniqueCount="99">
  <si>
    <t>Investimento</t>
  </si>
  <si>
    <t>Capital dívida início</t>
  </si>
  <si>
    <t>Preço venda</t>
  </si>
  <si>
    <t>Juros</t>
  </si>
  <si>
    <t>Vendas</t>
  </si>
  <si>
    <t>Inventário</t>
  </si>
  <si>
    <t>Produção</t>
  </si>
  <si>
    <t>Qtd mat-prima</t>
  </si>
  <si>
    <t>preço MP</t>
  </si>
  <si>
    <t>Gastos pessoal mensais</t>
  </si>
  <si>
    <t>renda mensal</t>
  </si>
  <si>
    <t>CMC</t>
  </si>
  <si>
    <t>Energia</t>
  </si>
  <si>
    <t>Gastos c/ Pessoal</t>
  </si>
  <si>
    <t>Rendas</t>
  </si>
  <si>
    <t>Depreciações</t>
  </si>
  <si>
    <t>IRC (25%)</t>
  </si>
  <si>
    <t>MLP</t>
  </si>
  <si>
    <t>IVA Liquidado</t>
  </si>
  <si>
    <t>Iva Dedutível</t>
  </si>
  <si>
    <t>Compras</t>
  </si>
  <si>
    <t>Equipamento</t>
  </si>
  <si>
    <t>Iva Apuramento</t>
  </si>
  <si>
    <t>Iva a receber</t>
  </si>
  <si>
    <t>Inventários</t>
  </si>
  <si>
    <t>Clientes</t>
  </si>
  <si>
    <t>EOEP a receber</t>
  </si>
  <si>
    <t>Fornecedores</t>
  </si>
  <si>
    <t>EOEP a pagar</t>
  </si>
  <si>
    <t>NFM</t>
  </si>
  <si>
    <t>Recursos</t>
  </si>
  <si>
    <t>Total</t>
  </si>
  <si>
    <t>Necessidades</t>
  </si>
  <si>
    <t>Taxa atualização</t>
  </si>
  <si>
    <t>Coef. Actualização</t>
  </si>
  <si>
    <t xml:space="preserve">CFL </t>
  </si>
  <si>
    <t>CFL acumulado</t>
  </si>
  <si>
    <t>Projeto</t>
  </si>
  <si>
    <t>VALI</t>
  </si>
  <si>
    <t>VALIU</t>
  </si>
  <si>
    <t>A</t>
  </si>
  <si>
    <t>B</t>
  </si>
  <si>
    <t>C</t>
  </si>
  <si>
    <t>D</t>
  </si>
  <si>
    <t>E</t>
  </si>
  <si>
    <t>F</t>
  </si>
  <si>
    <t>G</t>
  </si>
  <si>
    <t>IVA em dívida</t>
  </si>
  <si>
    <t>Outros gastos e perdas</t>
  </si>
  <si>
    <t>EBIT</t>
  </si>
  <si>
    <t>EBIT (1-t)</t>
  </si>
  <si>
    <t>Reporte de IVA</t>
  </si>
  <si>
    <t>Total das necessidades cíclicas</t>
  </si>
  <si>
    <t>Total dos recursos cíclicos</t>
  </si>
  <si>
    <t>Meios libertos pelo projeto</t>
  </si>
  <si>
    <t>Valor Residual NFM</t>
  </si>
  <si>
    <t>Investimento Ativos Não Correntes</t>
  </si>
  <si>
    <t>Valor Residual Ativos Não Correntes</t>
  </si>
  <si>
    <t>Variação NFM</t>
  </si>
  <si>
    <t>Período</t>
  </si>
  <si>
    <t>Capital</t>
  </si>
  <si>
    <t>Prestação</t>
  </si>
  <si>
    <t>Imposto selo</t>
  </si>
  <si>
    <t>Total pagar</t>
  </si>
  <si>
    <t>Capital dívida fim</t>
  </si>
  <si>
    <t>14.500€</t>
  </si>
  <si>
    <t>14.518€</t>
  </si>
  <si>
    <t>14.000€</t>
  </si>
  <si>
    <t>14.016€</t>
  </si>
  <si>
    <t>13.500€</t>
  </si>
  <si>
    <t>13.514€</t>
  </si>
  <si>
    <t>13.000€</t>
  </si>
  <si>
    <t>13.012€</t>
  </si>
  <si>
    <t>12.500€</t>
  </si>
  <si>
    <t>12.510€</t>
  </si>
  <si>
    <t>12.000€</t>
  </si>
  <si>
    <t>12.008€</t>
  </si>
  <si>
    <t>11.500€</t>
  </si>
  <si>
    <t>11.506€</t>
  </si>
  <si>
    <t>11.000€</t>
  </si>
  <si>
    <t>11.004€</t>
  </si>
  <si>
    <t>10.500€</t>
  </si>
  <si>
    <t>10.502€</t>
  </si>
  <si>
    <t>Empréstimo</t>
  </si>
  <si>
    <t>Taxa de juro</t>
  </si>
  <si>
    <t>R</t>
  </si>
  <si>
    <t>VR</t>
  </si>
  <si>
    <t>VR atualizado</t>
  </si>
  <si>
    <t>IVA a pagar</t>
  </si>
  <si>
    <t>Variação das Necessidades em Fundo de Maneio</t>
  </si>
  <si>
    <t>Fluxo de caixa líquido</t>
  </si>
  <si>
    <t>CFL Actualizado</t>
  </si>
  <si>
    <t>CFL Act. Acum.</t>
  </si>
  <si>
    <t>VAL</t>
  </si>
  <si>
    <t>TIR</t>
  </si>
  <si>
    <t>dias</t>
  </si>
  <si>
    <t>NOTA DOS AUTORES</t>
  </si>
  <si>
    <t>Os valores a cinzento, correspondentes à prestação estão incorretamente calculados no livro, devido a um erro no excel original. O presente ficheiro corrige essa tabela.</t>
  </si>
  <si>
    <t>O valor a cinzento, correspondente ao VALIU, está incorretamente calculado no livro, devido a um erro no excel original. O presente ficheiro corrige esse valor.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</si>
</sst>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%"/>
    <numFmt numFmtId="165" formatCode="0.00000"/>
    <numFmt numFmtId="166" formatCode="#,##0.00\ &quot;€&quot;"/>
    <numFmt numFmtId="167" formatCode="0.0%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4" fontId="4" fillId="0" borderId="0" xfId="0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4" fontId="3" fillId="0" borderId="7" xfId="0" applyNumberFormat="1" applyFont="1" applyFill="1" applyBorder="1" applyAlignment="1">
      <alignment horizontal="center" vertical="center" wrapText="1"/>
    </xf>
    <xf numFmtId="17" fontId="3" fillId="0" borderId="8" xfId="0" applyNumberFormat="1" applyFont="1" applyFill="1" applyBorder="1" applyAlignment="1">
      <alignment horizontal="center" vertical="center" wrapText="1"/>
    </xf>
    <xf numFmtId="44" fontId="3" fillId="0" borderId="9" xfId="0" applyNumberFormat="1" applyFont="1" applyFill="1" applyBorder="1" applyAlignment="1">
      <alignment horizontal="center" vertical="center" wrapText="1"/>
    </xf>
    <xf numFmtId="17" fontId="3" fillId="0" borderId="10" xfId="0" applyNumberFormat="1" applyFont="1" applyFill="1" applyBorder="1" applyAlignment="1">
      <alignment horizontal="center" vertical="center" wrapText="1"/>
    </xf>
    <xf numFmtId="44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4" fontId="3" fillId="0" borderId="12" xfId="0" applyNumberFormat="1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justify" vertical="center" wrapText="1"/>
    </xf>
    <xf numFmtId="44" fontId="4" fillId="0" borderId="12" xfId="0" applyNumberFormat="1" applyFont="1" applyFill="1" applyBorder="1" applyAlignment="1">
      <alignment horizontal="justify" vertical="center" wrapText="1"/>
    </xf>
    <xf numFmtId="44" fontId="4" fillId="0" borderId="7" xfId="0" applyNumberFormat="1" applyFont="1" applyFill="1" applyBorder="1" applyAlignment="1">
      <alignment horizontal="justify" vertical="center" wrapText="1"/>
    </xf>
    <xf numFmtId="44" fontId="4" fillId="0" borderId="1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/>
    <xf numFmtId="0" fontId="3" fillId="0" borderId="1" xfId="0" applyFont="1" applyFill="1" applyBorder="1"/>
    <xf numFmtId="9" fontId="3" fillId="0" borderId="1" xfId="0" applyNumberFormat="1" applyFont="1" applyFill="1" applyBorder="1"/>
    <xf numFmtId="167" fontId="3" fillId="0" borderId="1" xfId="0" applyNumberFormat="1" applyFont="1" applyFill="1" applyBorder="1"/>
    <xf numFmtId="44" fontId="3" fillId="0" borderId="1" xfId="0" applyNumberFormat="1" applyFont="1" applyFill="1" applyBorder="1"/>
    <xf numFmtId="9" fontId="3" fillId="0" borderId="1" xfId="2" applyFont="1" applyFill="1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166" fontId="3" fillId="0" borderId="0" xfId="0" applyNumberFormat="1" applyFont="1" applyBorder="1"/>
    <xf numFmtId="166" fontId="3" fillId="0" borderId="9" xfId="0" applyNumberFormat="1" applyFont="1" applyBorder="1"/>
    <xf numFmtId="0" fontId="3" fillId="0" borderId="0" xfId="0" applyNumberFormat="1" applyFont="1" applyBorder="1"/>
    <xf numFmtId="0" fontId="3" fillId="0" borderId="9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6" fontId="3" fillId="0" borderId="11" xfId="0" applyNumberFormat="1" applyFont="1" applyBorder="1"/>
    <xf numFmtId="166" fontId="3" fillId="0" borderId="12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4" fontId="3" fillId="0" borderId="6" xfId="1" applyFont="1" applyBorder="1"/>
    <xf numFmtId="168" fontId="3" fillId="0" borderId="9" xfId="0" applyNumberFormat="1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7" fontId="3" fillId="0" borderId="0" xfId="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44" fontId="3" fillId="0" borderId="0" xfId="0" applyNumberFormat="1" applyFont="1" applyBorder="1"/>
    <xf numFmtId="166" fontId="3" fillId="0" borderId="0" xfId="1" applyNumberFormat="1" applyFont="1" applyBorder="1"/>
    <xf numFmtId="165" fontId="3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7" fontId="3" fillId="0" borderId="6" xfId="1" applyNumberFormat="1" applyFont="1" applyBorder="1" applyAlignment="1">
      <alignment horizontal="right"/>
    </xf>
    <xf numFmtId="7" fontId="3" fillId="0" borderId="7" xfId="1" applyNumberFormat="1" applyFont="1" applyBorder="1" applyAlignment="1">
      <alignment horizontal="right"/>
    </xf>
    <xf numFmtId="7" fontId="3" fillId="0" borderId="9" xfId="1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right"/>
    </xf>
    <xf numFmtId="7" fontId="2" fillId="0" borderId="11" xfId="1" applyNumberFormat="1" applyFont="1" applyBorder="1" applyAlignment="1">
      <alignment horizontal="right"/>
    </xf>
    <xf numFmtId="7" fontId="2" fillId="0" borderId="12" xfId="1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166" fontId="2" fillId="0" borderId="9" xfId="0" applyNumberFormat="1" applyFont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166" fontId="3" fillId="0" borderId="9" xfId="1" applyNumberFormat="1" applyFont="1" applyBorder="1" applyAlignment="1">
      <alignment horizontal="right"/>
    </xf>
    <xf numFmtId="166" fontId="2" fillId="0" borderId="11" xfId="0" applyNumberFormat="1" applyFont="1" applyBorder="1" applyAlignment="1">
      <alignment horizontal="right"/>
    </xf>
    <xf numFmtId="166" fontId="2" fillId="0" borderId="12" xfId="0" applyNumberFormat="1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2" fillId="0" borderId="8" xfId="0" applyFont="1" applyBorder="1"/>
    <xf numFmtId="166" fontId="3" fillId="0" borderId="9" xfId="1" applyNumberFormat="1" applyFont="1" applyBorder="1"/>
    <xf numFmtId="166" fontId="2" fillId="0" borderId="11" xfId="1" applyNumberFormat="1" applyFont="1" applyBorder="1" applyAlignment="1">
      <alignment horizontal="right"/>
    </xf>
    <xf numFmtId="166" fontId="2" fillId="0" borderId="12" xfId="1" applyNumberFormat="1" applyFont="1" applyBorder="1" applyAlignment="1">
      <alignment horizontal="right"/>
    </xf>
    <xf numFmtId="44" fontId="3" fillId="0" borderId="5" xfId="1" applyFont="1" applyBorder="1"/>
    <xf numFmtId="166" fontId="3" fillId="0" borderId="6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6" fontId="3" fillId="0" borderId="11" xfId="1" applyNumberFormat="1" applyFont="1" applyBorder="1" applyAlignment="1">
      <alignment horizontal="right"/>
    </xf>
    <xf numFmtId="166" fontId="3" fillId="0" borderId="12" xfId="1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2" applyNumberFormat="1" applyFont="1" applyBorder="1"/>
    <xf numFmtId="0" fontId="0" fillId="0" borderId="2" xfId="0" applyBorder="1"/>
    <xf numFmtId="8" fontId="3" fillId="0" borderId="0" xfId="0" applyNumberFormat="1" applyFont="1" applyFill="1" applyBorder="1"/>
    <xf numFmtId="0" fontId="3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/>
    <xf numFmtId="166" fontId="4" fillId="0" borderId="6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0" fontId="4" fillId="0" borderId="10" xfId="0" applyFont="1" applyFill="1" applyBorder="1"/>
    <xf numFmtId="166" fontId="4" fillId="0" borderId="11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44" fontId="3" fillId="0" borderId="2" xfId="1" applyFont="1" applyFill="1" applyBorder="1"/>
    <xf numFmtId="44" fontId="3" fillId="0" borderId="3" xfId="1" applyFont="1" applyFill="1" applyBorder="1"/>
    <xf numFmtId="44" fontId="3" fillId="0" borderId="6" xfId="1" applyFont="1" applyFill="1" applyBorder="1"/>
    <xf numFmtId="44" fontId="3" fillId="0" borderId="7" xfId="1" applyFont="1" applyFill="1" applyBorder="1"/>
    <xf numFmtId="8" fontId="3" fillId="0" borderId="1" xfId="0" applyNumberFormat="1" applyFont="1" applyFill="1" applyBorder="1"/>
    <xf numFmtId="8" fontId="3" fillId="0" borderId="3" xfId="0" applyNumberFormat="1" applyFont="1" applyBorder="1"/>
    <xf numFmtId="10" fontId="3" fillId="0" borderId="3" xfId="0" applyNumberFormat="1" applyFont="1" applyBorder="1"/>
    <xf numFmtId="8" fontId="4" fillId="0" borderId="0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8" fontId="4" fillId="0" borderId="11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1" fontId="0" fillId="0" borderId="0" xfId="0" applyNumberFormat="1" applyFill="1"/>
    <xf numFmtId="44" fontId="4" fillId="2" borderId="0" xfId="0" applyNumberFormat="1" applyFont="1" applyFill="1" applyBorder="1" applyAlignment="1">
      <alignment horizontal="justify" vertical="center" wrapText="1"/>
    </xf>
    <xf numFmtId="44" fontId="4" fillId="2" borderId="11" xfId="0" applyNumberFormat="1" applyFont="1" applyFill="1" applyBorder="1" applyAlignment="1">
      <alignment horizontal="justify" vertical="center" wrapText="1"/>
    </xf>
    <xf numFmtId="44" fontId="3" fillId="2" borderId="1" xfId="0" applyNumberFormat="1" applyFont="1" applyFill="1" applyBorder="1"/>
    <xf numFmtId="8" fontId="3" fillId="2" borderId="1" xfId="0" applyNumberFormat="1" applyFont="1" applyFill="1" applyBorder="1"/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tabSelected="1" zoomScaleNormal="100" workbookViewId="0"/>
  </sheetViews>
  <sheetFormatPr defaultRowHeight="16.5" customHeight="1" x14ac:dyDescent="0.25"/>
  <cols>
    <col min="1" max="1" width="7.42578125" style="5" bestFit="1" customWidth="1"/>
    <col min="2" max="2" width="16.85546875" style="5" bestFit="1" customWidth="1"/>
    <col min="3" max="3" width="10.42578125" style="5" bestFit="1" customWidth="1"/>
    <col min="4" max="5" width="12.28515625" style="5" bestFit="1" customWidth="1"/>
    <col min="6" max="6" width="11.7109375" style="5" bestFit="1" customWidth="1"/>
    <col min="7" max="7" width="12.28515625" style="5" bestFit="1" customWidth="1"/>
    <col min="8" max="8" width="15.140625" style="5" bestFit="1" customWidth="1"/>
    <col min="9" max="9" width="9.140625" style="5"/>
    <col min="10" max="10" width="12.42578125" style="5" bestFit="1" customWidth="1"/>
    <col min="11" max="11" width="14.5703125" style="5" bestFit="1" customWidth="1"/>
    <col min="14" max="14" width="41.7109375" bestFit="1" customWidth="1"/>
    <col min="15" max="15" width="13.28515625" bestFit="1" customWidth="1"/>
    <col min="16" max="19" width="14.5703125" bestFit="1" customWidth="1"/>
    <col min="20" max="20" width="15.42578125" bestFit="1" customWidth="1"/>
    <col min="22" max="22" width="18.28515625" bestFit="1" customWidth="1"/>
    <col min="23" max="23" width="12.5703125" bestFit="1" customWidth="1"/>
    <col min="24" max="24" width="6.85546875" style="5" bestFit="1" customWidth="1"/>
    <col min="25" max="25" width="13.140625" style="5" bestFit="1" customWidth="1"/>
    <col min="26" max="26" width="14.85546875" style="5" bestFit="1" customWidth="1"/>
    <col min="27" max="27" width="12.140625" style="5" bestFit="1" customWidth="1"/>
  </cols>
  <sheetData>
    <row r="1" spans="1:27" ht="16.5" customHeight="1" x14ac:dyDescent="0.25">
      <c r="A1" s="7" t="s">
        <v>59</v>
      </c>
      <c r="B1" s="8" t="s">
        <v>1</v>
      </c>
      <c r="C1" s="8" t="s">
        <v>3</v>
      </c>
      <c r="D1" s="8" t="s">
        <v>60</v>
      </c>
      <c r="E1" s="8" t="s">
        <v>61</v>
      </c>
      <c r="F1" s="8" t="s">
        <v>62</v>
      </c>
      <c r="G1" s="8" t="s">
        <v>63</v>
      </c>
      <c r="H1" s="9" t="s">
        <v>64</v>
      </c>
      <c r="J1" s="23" t="s">
        <v>83</v>
      </c>
      <c r="K1" s="25">
        <v>100000</v>
      </c>
      <c r="N1" s="46"/>
      <c r="O1" s="47">
        <v>0</v>
      </c>
      <c r="P1" s="47">
        <v>1</v>
      </c>
      <c r="Q1" s="47">
        <v>2</v>
      </c>
      <c r="R1" s="47">
        <v>3</v>
      </c>
      <c r="S1" s="47">
        <v>4</v>
      </c>
      <c r="T1" s="48">
        <v>5</v>
      </c>
      <c r="X1" s="118" t="s">
        <v>37</v>
      </c>
      <c r="Y1" s="97" t="s">
        <v>0</v>
      </c>
      <c r="Z1" s="97" t="s">
        <v>38</v>
      </c>
      <c r="AA1" s="98" t="s">
        <v>39</v>
      </c>
    </row>
    <row r="2" spans="1:27" ht="16.5" customHeight="1" x14ac:dyDescent="0.25">
      <c r="A2" s="10">
        <v>36526</v>
      </c>
      <c r="B2" s="11"/>
      <c r="C2" s="11"/>
      <c r="D2" s="11"/>
      <c r="E2" s="11"/>
      <c r="F2" s="11"/>
      <c r="G2" s="11"/>
      <c r="H2" s="12">
        <f>K1</f>
        <v>100000</v>
      </c>
      <c r="J2" s="26" t="s">
        <v>84</v>
      </c>
      <c r="K2" s="27">
        <v>0.05</v>
      </c>
      <c r="N2" s="32" t="s">
        <v>0</v>
      </c>
      <c r="O2" s="49">
        <v>600000</v>
      </c>
      <c r="P2" s="33"/>
      <c r="Q2" s="33"/>
      <c r="R2" s="33"/>
      <c r="S2" s="33"/>
      <c r="T2" s="34"/>
      <c r="X2" s="113" t="s">
        <v>40</v>
      </c>
      <c r="Y2" s="112">
        <v>175000</v>
      </c>
      <c r="Z2" s="112">
        <f t="shared" ref="Z2:Z8" si="0">Y2*AA2</f>
        <v>302750</v>
      </c>
      <c r="AA2" s="114">
        <v>1.73</v>
      </c>
    </row>
    <row r="3" spans="1:27" ht="16.5" customHeight="1" x14ac:dyDescent="0.25">
      <c r="A3" s="13">
        <v>36678</v>
      </c>
      <c r="B3" s="4">
        <f>H2</f>
        <v>100000</v>
      </c>
      <c r="C3" s="4">
        <f t="shared" ref="C3:C12" si="1">ROUND(B3*$K$2,2)</f>
        <v>5000</v>
      </c>
      <c r="D3" s="4">
        <f>B3/10</f>
        <v>10000</v>
      </c>
      <c r="E3" s="4">
        <f>C3+D3</f>
        <v>15000</v>
      </c>
      <c r="F3" s="4">
        <f t="shared" ref="F3:F12" si="2">ROUND(C3*$K$3,2)</f>
        <v>20</v>
      </c>
      <c r="G3" s="4">
        <f>E3+F3</f>
        <v>15020</v>
      </c>
      <c r="H3" s="14">
        <f>B3-D3</f>
        <v>90000</v>
      </c>
      <c r="J3" s="26" t="s">
        <v>62</v>
      </c>
      <c r="K3" s="28">
        <v>4.0000000000000001E-3</v>
      </c>
      <c r="N3" s="35" t="s">
        <v>2</v>
      </c>
      <c r="O3" s="36"/>
      <c r="P3" s="37">
        <v>16</v>
      </c>
      <c r="Q3" s="37">
        <f>P3+0.5</f>
        <v>16.5</v>
      </c>
      <c r="R3" s="37">
        <f>Q3+0.5</f>
        <v>17</v>
      </c>
      <c r="S3" s="37">
        <f>R3+0.5</f>
        <v>17.5</v>
      </c>
      <c r="T3" s="38">
        <f>S3+0.5</f>
        <v>18</v>
      </c>
      <c r="X3" s="113" t="s">
        <v>41</v>
      </c>
      <c r="Y3" s="112">
        <v>222000</v>
      </c>
      <c r="Z3" s="112">
        <f t="shared" si="0"/>
        <v>408480</v>
      </c>
      <c r="AA3" s="114">
        <v>1.84</v>
      </c>
    </row>
    <row r="4" spans="1:27" ht="16.5" customHeight="1" x14ac:dyDescent="0.25">
      <c r="A4" s="13">
        <v>36861</v>
      </c>
      <c r="B4" s="4">
        <f t="shared" ref="B4:B11" si="3">H3</f>
        <v>90000</v>
      </c>
      <c r="C4" s="4">
        <f t="shared" si="1"/>
        <v>4500</v>
      </c>
      <c r="D4" s="4">
        <f>D3</f>
        <v>10000</v>
      </c>
      <c r="E4" s="3" t="s">
        <v>65</v>
      </c>
      <c r="F4" s="4">
        <f t="shared" si="2"/>
        <v>18</v>
      </c>
      <c r="G4" s="3" t="s">
        <v>66</v>
      </c>
      <c r="H4" s="14">
        <f t="shared" ref="H4:H12" si="4">B4-D4</f>
        <v>80000</v>
      </c>
      <c r="N4" s="35" t="s">
        <v>4</v>
      </c>
      <c r="O4" s="36"/>
      <c r="P4" s="39">
        <f>4000*12</f>
        <v>48000</v>
      </c>
      <c r="Q4" s="39">
        <f>P4*1.25</f>
        <v>60000</v>
      </c>
      <c r="R4" s="39">
        <f>Q4*1.1</f>
        <v>66000</v>
      </c>
      <c r="S4" s="39">
        <f>R4*1.1</f>
        <v>72600</v>
      </c>
      <c r="T4" s="40">
        <f>S4*1.1</f>
        <v>79860</v>
      </c>
      <c r="X4" s="113" t="s">
        <v>42</v>
      </c>
      <c r="Y4" s="112">
        <v>45000</v>
      </c>
      <c r="Z4" s="112">
        <f t="shared" si="0"/>
        <v>67950</v>
      </c>
      <c r="AA4" s="114">
        <v>1.51</v>
      </c>
    </row>
    <row r="5" spans="1:27" ht="16.5" customHeight="1" x14ac:dyDescent="0.25">
      <c r="A5" s="13">
        <v>37043</v>
      </c>
      <c r="B5" s="4">
        <f t="shared" si="3"/>
        <v>80000</v>
      </c>
      <c r="C5" s="4">
        <f t="shared" si="1"/>
        <v>4000</v>
      </c>
      <c r="D5" s="4">
        <f t="shared" ref="D5:D12" si="5">D4</f>
        <v>10000</v>
      </c>
      <c r="E5" s="3" t="s">
        <v>67</v>
      </c>
      <c r="F5" s="4">
        <f t="shared" si="2"/>
        <v>16</v>
      </c>
      <c r="G5" s="3" t="s">
        <v>68</v>
      </c>
      <c r="H5" s="14">
        <f t="shared" si="4"/>
        <v>70000</v>
      </c>
      <c r="N5" s="35" t="s">
        <v>5</v>
      </c>
      <c r="O5" s="36"/>
      <c r="P5" s="39">
        <f>(P4/12)/2</f>
        <v>2000</v>
      </c>
      <c r="Q5" s="39">
        <f>(Q4/12)/2</f>
        <v>2500</v>
      </c>
      <c r="R5" s="39">
        <f>(R4/12)/2</f>
        <v>2750</v>
      </c>
      <c r="S5" s="39">
        <f>(S4/12)/2</f>
        <v>3025</v>
      </c>
      <c r="T5" s="40">
        <f>(T4/12)/2</f>
        <v>3327.5</v>
      </c>
      <c r="X5" s="113" t="s">
        <v>43</v>
      </c>
      <c r="Y5" s="112">
        <v>184000</v>
      </c>
      <c r="Z5" s="112">
        <f t="shared" si="0"/>
        <v>390080</v>
      </c>
      <c r="AA5" s="114">
        <v>2.12</v>
      </c>
    </row>
    <row r="6" spans="1:27" ht="16.5" customHeight="1" x14ac:dyDescent="0.25">
      <c r="A6" s="13">
        <v>37226</v>
      </c>
      <c r="B6" s="4">
        <f t="shared" si="3"/>
        <v>70000</v>
      </c>
      <c r="C6" s="4">
        <f t="shared" si="1"/>
        <v>3500</v>
      </c>
      <c r="D6" s="4">
        <f t="shared" si="5"/>
        <v>10000</v>
      </c>
      <c r="E6" s="3" t="s">
        <v>69</v>
      </c>
      <c r="F6" s="4">
        <f t="shared" si="2"/>
        <v>14</v>
      </c>
      <c r="G6" s="3" t="s">
        <v>70</v>
      </c>
      <c r="H6" s="14">
        <f t="shared" si="4"/>
        <v>60000</v>
      </c>
      <c r="N6" s="35" t="s">
        <v>6</v>
      </c>
      <c r="O6" s="36"/>
      <c r="P6" s="39">
        <f>P4+P5-O5</f>
        <v>50000</v>
      </c>
      <c r="Q6" s="39">
        <f t="shared" ref="Q6:T6" si="6">Q4+Q5-P5</f>
        <v>60500</v>
      </c>
      <c r="R6" s="39">
        <f t="shared" si="6"/>
        <v>66250</v>
      </c>
      <c r="S6" s="39">
        <f t="shared" si="6"/>
        <v>72875</v>
      </c>
      <c r="T6" s="50">
        <f t="shared" si="6"/>
        <v>80162.5</v>
      </c>
      <c r="X6" s="113" t="s">
        <v>44</v>
      </c>
      <c r="Y6" s="112">
        <v>95500</v>
      </c>
      <c r="Z6" s="112">
        <f t="shared" si="0"/>
        <v>117465</v>
      </c>
      <c r="AA6" s="114">
        <v>1.23</v>
      </c>
    </row>
    <row r="7" spans="1:27" ht="16.5" customHeight="1" x14ac:dyDescent="0.25">
      <c r="A7" s="13">
        <v>37408</v>
      </c>
      <c r="B7" s="4">
        <f t="shared" si="3"/>
        <v>60000</v>
      </c>
      <c r="C7" s="4">
        <f t="shared" si="1"/>
        <v>3000</v>
      </c>
      <c r="D7" s="4">
        <f t="shared" si="5"/>
        <v>10000</v>
      </c>
      <c r="E7" s="3" t="s">
        <v>71</v>
      </c>
      <c r="F7" s="4">
        <f t="shared" si="2"/>
        <v>12</v>
      </c>
      <c r="G7" s="3" t="s">
        <v>72</v>
      </c>
      <c r="H7" s="14">
        <f t="shared" si="4"/>
        <v>50000</v>
      </c>
      <c r="N7" s="35" t="s">
        <v>7</v>
      </c>
      <c r="O7" s="36"/>
      <c r="P7" s="36">
        <f>P6/40</f>
        <v>1250</v>
      </c>
      <c r="Q7" s="36">
        <f t="shared" ref="Q7:S7" si="7">Q6/40</f>
        <v>1512.5</v>
      </c>
      <c r="R7" s="36">
        <f t="shared" si="7"/>
        <v>1656.25</v>
      </c>
      <c r="S7" s="36">
        <f t="shared" si="7"/>
        <v>1821.875</v>
      </c>
      <c r="T7" s="41">
        <f>T6/40</f>
        <v>2004.0625</v>
      </c>
      <c r="X7" s="113" t="s">
        <v>45</v>
      </c>
      <c r="Y7" s="112">
        <v>138000</v>
      </c>
      <c r="Z7" s="112">
        <f t="shared" si="0"/>
        <v>307740</v>
      </c>
      <c r="AA7" s="114">
        <v>2.23</v>
      </c>
    </row>
    <row r="8" spans="1:27" ht="16.5" customHeight="1" x14ac:dyDescent="0.25">
      <c r="A8" s="13">
        <v>37591</v>
      </c>
      <c r="B8" s="4">
        <f t="shared" si="3"/>
        <v>50000</v>
      </c>
      <c r="C8" s="4">
        <f t="shared" si="1"/>
        <v>2500</v>
      </c>
      <c r="D8" s="4">
        <f t="shared" si="5"/>
        <v>10000</v>
      </c>
      <c r="E8" s="3" t="s">
        <v>73</v>
      </c>
      <c r="F8" s="4">
        <f t="shared" si="2"/>
        <v>10</v>
      </c>
      <c r="G8" s="3" t="s">
        <v>74</v>
      </c>
      <c r="H8" s="14">
        <f t="shared" si="4"/>
        <v>40000</v>
      </c>
      <c r="N8" s="35" t="s">
        <v>8</v>
      </c>
      <c r="O8" s="36"/>
      <c r="P8" s="37">
        <v>350</v>
      </c>
      <c r="Q8" s="37">
        <v>360</v>
      </c>
      <c r="R8" s="37">
        <v>370</v>
      </c>
      <c r="S8" s="37">
        <f>R8+5</f>
        <v>375</v>
      </c>
      <c r="T8" s="38">
        <f>S8+5</f>
        <v>380</v>
      </c>
      <c r="X8" s="115" t="s">
        <v>46</v>
      </c>
      <c r="Y8" s="116">
        <v>56000</v>
      </c>
      <c r="Z8" s="116">
        <f t="shared" si="0"/>
        <v>114799.99999999999</v>
      </c>
      <c r="AA8" s="117">
        <v>2.0499999999999998</v>
      </c>
    </row>
    <row r="9" spans="1:27" ht="16.5" customHeight="1" x14ac:dyDescent="0.25">
      <c r="A9" s="13">
        <v>37773</v>
      </c>
      <c r="B9" s="4">
        <f t="shared" si="3"/>
        <v>40000</v>
      </c>
      <c r="C9" s="4">
        <f t="shared" si="1"/>
        <v>2000</v>
      </c>
      <c r="D9" s="4">
        <f t="shared" si="5"/>
        <v>10000</v>
      </c>
      <c r="E9" s="3" t="s">
        <v>75</v>
      </c>
      <c r="F9" s="4">
        <f t="shared" si="2"/>
        <v>8</v>
      </c>
      <c r="G9" s="3" t="s">
        <v>76</v>
      </c>
      <c r="H9" s="14">
        <f t="shared" si="4"/>
        <v>30000</v>
      </c>
      <c r="N9" s="35" t="s">
        <v>9</v>
      </c>
      <c r="O9" s="36"/>
      <c r="P9" s="37">
        <v>1500</v>
      </c>
      <c r="Q9" s="37">
        <v>1500</v>
      </c>
      <c r="R9" s="37">
        <f>Q9+100</f>
        <v>1600</v>
      </c>
      <c r="S9" s="37">
        <f>R9+100</f>
        <v>1700</v>
      </c>
      <c r="T9" s="38">
        <f>S9+100</f>
        <v>1800</v>
      </c>
    </row>
    <row r="10" spans="1:27" ht="16.5" customHeight="1" x14ac:dyDescent="0.25">
      <c r="A10" s="13">
        <v>37956</v>
      </c>
      <c r="B10" s="4">
        <f t="shared" si="3"/>
        <v>30000</v>
      </c>
      <c r="C10" s="4">
        <f t="shared" si="1"/>
        <v>1500</v>
      </c>
      <c r="D10" s="4">
        <f t="shared" si="5"/>
        <v>10000</v>
      </c>
      <c r="E10" s="3" t="s">
        <v>77</v>
      </c>
      <c r="F10" s="4">
        <f t="shared" si="2"/>
        <v>6</v>
      </c>
      <c r="G10" s="3" t="s">
        <v>78</v>
      </c>
      <c r="H10" s="14">
        <f t="shared" si="4"/>
        <v>20000</v>
      </c>
      <c r="N10" s="42" t="s">
        <v>10</v>
      </c>
      <c r="O10" s="43"/>
      <c r="P10" s="44">
        <v>750</v>
      </c>
      <c r="Q10" s="44">
        <v>750</v>
      </c>
      <c r="R10" s="44">
        <v>850</v>
      </c>
      <c r="S10" s="44">
        <v>850</v>
      </c>
      <c r="T10" s="45">
        <v>950</v>
      </c>
      <c r="Y10" s="95">
        <f>Y3+Y5+Y7+Y8</f>
        <v>600000</v>
      </c>
      <c r="Z10" s="95">
        <f>Z3+Z5+Z7+Z8</f>
        <v>1221100</v>
      </c>
      <c r="AA10" s="5">
        <f>Z10/Y10</f>
        <v>2.0351666666666666</v>
      </c>
    </row>
    <row r="11" spans="1:27" ht="16.5" customHeight="1" x14ac:dyDescent="0.25">
      <c r="A11" s="13">
        <v>38139</v>
      </c>
      <c r="B11" s="4">
        <f t="shared" si="3"/>
        <v>20000</v>
      </c>
      <c r="C11" s="4">
        <f t="shared" si="1"/>
        <v>1000</v>
      </c>
      <c r="D11" s="4">
        <f t="shared" si="5"/>
        <v>10000</v>
      </c>
      <c r="E11" s="3" t="s">
        <v>79</v>
      </c>
      <c r="F11" s="4">
        <f t="shared" si="2"/>
        <v>4</v>
      </c>
      <c r="G11" s="3" t="s">
        <v>80</v>
      </c>
      <c r="H11" s="14">
        <f t="shared" si="4"/>
        <v>10000</v>
      </c>
    </row>
    <row r="12" spans="1:27" ht="16.5" customHeight="1" x14ac:dyDescent="0.25">
      <c r="A12" s="15">
        <v>38322</v>
      </c>
      <c r="B12" s="16">
        <f>H11</f>
        <v>10000</v>
      </c>
      <c r="C12" s="16">
        <f t="shared" si="1"/>
        <v>500</v>
      </c>
      <c r="D12" s="16">
        <f t="shared" si="5"/>
        <v>10000</v>
      </c>
      <c r="E12" s="17" t="s">
        <v>81</v>
      </c>
      <c r="F12" s="16">
        <f t="shared" si="2"/>
        <v>2</v>
      </c>
      <c r="G12" s="17" t="s">
        <v>82</v>
      </c>
      <c r="H12" s="18">
        <f t="shared" si="4"/>
        <v>0</v>
      </c>
      <c r="N12" s="31"/>
      <c r="O12" s="60">
        <v>0</v>
      </c>
      <c r="P12" s="60">
        <v>1</v>
      </c>
      <c r="Q12" s="60">
        <v>2</v>
      </c>
      <c r="R12" s="60">
        <v>3</v>
      </c>
      <c r="S12" s="60">
        <v>4</v>
      </c>
      <c r="T12" s="61">
        <v>5</v>
      </c>
    </row>
    <row r="13" spans="1:27" ht="16.5" customHeight="1" x14ac:dyDescent="0.25">
      <c r="N13" s="32" t="s">
        <v>4</v>
      </c>
      <c r="O13" s="62"/>
      <c r="P13" s="63">
        <f>P3*P4</f>
        <v>768000</v>
      </c>
      <c r="Q13" s="63">
        <f>Q3*Q4</f>
        <v>990000</v>
      </c>
      <c r="R13" s="63">
        <f>R3*R4</f>
        <v>1122000</v>
      </c>
      <c r="S13" s="63">
        <f>S3*S4</f>
        <v>1270500</v>
      </c>
      <c r="T13" s="64">
        <f>T3*T4</f>
        <v>1437480</v>
      </c>
    </row>
    <row r="14" spans="1:27" ht="16.5" customHeight="1" x14ac:dyDescent="0.25">
      <c r="A14" s="7" t="s">
        <v>59</v>
      </c>
      <c r="B14" s="8" t="s">
        <v>1</v>
      </c>
      <c r="C14" s="8" t="s">
        <v>3</v>
      </c>
      <c r="D14" s="8" t="s">
        <v>60</v>
      </c>
      <c r="E14" s="8" t="s">
        <v>61</v>
      </c>
      <c r="F14" s="8" t="s">
        <v>62</v>
      </c>
      <c r="G14" s="8" t="s">
        <v>63</v>
      </c>
      <c r="H14" s="9" t="s">
        <v>64</v>
      </c>
      <c r="J14" s="23" t="s">
        <v>85</v>
      </c>
      <c r="K14" s="26">
        <f>(1-(1+K2)^-10)/K2</f>
        <v>7.7217349291848132</v>
      </c>
      <c r="N14" s="35" t="s">
        <v>11</v>
      </c>
      <c r="O14" s="52"/>
      <c r="P14" s="53">
        <f>ROUND(P8*P7,2)</f>
        <v>437500</v>
      </c>
      <c r="Q14" s="53">
        <f t="shared" ref="Q14:T14" si="8">ROUND(Q8*Q7,2)</f>
        <v>544500</v>
      </c>
      <c r="R14" s="53">
        <f t="shared" si="8"/>
        <v>612812.5</v>
      </c>
      <c r="S14" s="53">
        <f t="shared" si="8"/>
        <v>683203.13</v>
      </c>
      <c r="T14" s="65">
        <f t="shared" si="8"/>
        <v>761543.75</v>
      </c>
    </row>
    <row r="15" spans="1:27" ht="16.5" customHeight="1" x14ac:dyDescent="0.25">
      <c r="A15" s="10">
        <v>36526</v>
      </c>
      <c r="B15" s="11"/>
      <c r="C15" s="11"/>
      <c r="D15" s="11"/>
      <c r="E15" s="11"/>
      <c r="F15" s="11"/>
      <c r="G15" s="11"/>
      <c r="H15" s="12">
        <f>K1</f>
        <v>100000</v>
      </c>
      <c r="J15" s="26" t="s">
        <v>61</v>
      </c>
      <c r="K15" s="29">
        <f>ROUND(K1/K14,2)</f>
        <v>12950.46</v>
      </c>
      <c r="N15" s="35" t="s">
        <v>12</v>
      </c>
      <c r="O15" s="52"/>
      <c r="P15" s="53">
        <f>ROUND(P6*7.5*0.15,2)</f>
        <v>56250</v>
      </c>
      <c r="Q15" s="53">
        <f t="shared" ref="Q15:T15" si="9">ROUND(Q6*7.5*0.15,2)</f>
        <v>68062.5</v>
      </c>
      <c r="R15" s="53">
        <f t="shared" si="9"/>
        <v>74531.25</v>
      </c>
      <c r="S15" s="53">
        <f t="shared" si="9"/>
        <v>81984.38</v>
      </c>
      <c r="T15" s="65">
        <f t="shared" si="9"/>
        <v>90182.81</v>
      </c>
    </row>
    <row r="16" spans="1:27" ht="16.5" customHeight="1" x14ac:dyDescent="0.25">
      <c r="A16" s="13">
        <v>36678</v>
      </c>
      <c r="B16" s="4">
        <f>H15</f>
        <v>100000</v>
      </c>
      <c r="C16" s="4">
        <f t="shared" ref="C16:C25" si="10">ROUND(B16*$K$2,2)</f>
        <v>5000</v>
      </c>
      <c r="D16" s="4">
        <f>E16-C16</f>
        <v>7950.4599999999991</v>
      </c>
      <c r="E16" s="4">
        <f>K15</f>
        <v>12950.46</v>
      </c>
      <c r="F16" s="4">
        <f t="shared" ref="F16:F25" si="11">ROUND(C16*$K$3,2)</f>
        <v>20</v>
      </c>
      <c r="G16" s="4">
        <f t="shared" ref="G16:G25" si="12">E16+F16</f>
        <v>12970.46</v>
      </c>
      <c r="H16" s="19">
        <f>B16-D16</f>
        <v>92049.540000000008</v>
      </c>
      <c r="N16" s="35" t="s">
        <v>13</v>
      </c>
      <c r="O16" s="52"/>
      <c r="P16" s="53">
        <f>P9*14</f>
        <v>21000</v>
      </c>
      <c r="Q16" s="53">
        <f>Q9*14</f>
        <v>21000</v>
      </c>
      <c r="R16" s="53">
        <f>R9*14</f>
        <v>22400</v>
      </c>
      <c r="S16" s="53">
        <f>S9*14</f>
        <v>23800</v>
      </c>
      <c r="T16" s="65">
        <f>T9*14</f>
        <v>25200</v>
      </c>
    </row>
    <row r="17" spans="1:20" ht="16.5" customHeight="1" x14ac:dyDescent="0.25">
      <c r="A17" s="13">
        <v>36861</v>
      </c>
      <c r="B17" s="4">
        <f t="shared" ref="B17:B25" si="13">H16</f>
        <v>92049.540000000008</v>
      </c>
      <c r="C17" s="4">
        <f t="shared" si="10"/>
        <v>4602.4799999999996</v>
      </c>
      <c r="D17" s="4">
        <f t="shared" ref="D17:D24" si="14">E17-C17</f>
        <v>8347.98</v>
      </c>
      <c r="E17" s="4">
        <f>E16</f>
        <v>12950.46</v>
      </c>
      <c r="F17" s="4">
        <f t="shared" si="11"/>
        <v>18.41</v>
      </c>
      <c r="G17" s="4">
        <f t="shared" si="12"/>
        <v>12968.869999999999</v>
      </c>
      <c r="H17" s="19">
        <f t="shared" ref="H17:H25" si="15">B17-D17</f>
        <v>83701.560000000012</v>
      </c>
      <c r="N17" s="35" t="s">
        <v>14</v>
      </c>
      <c r="O17" s="52"/>
      <c r="P17" s="53">
        <f>P10*12</f>
        <v>9000</v>
      </c>
      <c r="Q17" s="53">
        <f t="shared" ref="Q17:T17" si="16">Q10*12</f>
        <v>9000</v>
      </c>
      <c r="R17" s="53">
        <f t="shared" si="16"/>
        <v>10200</v>
      </c>
      <c r="S17" s="53">
        <f t="shared" si="16"/>
        <v>10200</v>
      </c>
      <c r="T17" s="65">
        <f t="shared" si="16"/>
        <v>11400</v>
      </c>
    </row>
    <row r="18" spans="1:20" ht="16.5" customHeight="1" x14ac:dyDescent="0.25">
      <c r="A18" s="13">
        <v>37043</v>
      </c>
      <c r="B18" s="4">
        <f t="shared" si="13"/>
        <v>83701.560000000012</v>
      </c>
      <c r="C18" s="4">
        <f t="shared" si="10"/>
        <v>4185.08</v>
      </c>
      <c r="D18" s="4">
        <f t="shared" si="14"/>
        <v>8765.3799999999992</v>
      </c>
      <c r="E18" s="4">
        <f t="shared" ref="E18:E25" si="17">E17</f>
        <v>12950.46</v>
      </c>
      <c r="F18" s="4">
        <f t="shared" si="11"/>
        <v>16.739999999999998</v>
      </c>
      <c r="G18" s="4">
        <f t="shared" si="12"/>
        <v>12967.199999999999</v>
      </c>
      <c r="H18" s="19">
        <f t="shared" si="15"/>
        <v>74936.180000000008</v>
      </c>
      <c r="N18" s="35" t="s">
        <v>15</v>
      </c>
      <c r="O18" s="52"/>
      <c r="P18" s="53">
        <f>O2/5</f>
        <v>120000</v>
      </c>
      <c r="Q18" s="53">
        <f>P18</f>
        <v>120000</v>
      </c>
      <c r="R18" s="53">
        <f>Q18</f>
        <v>120000</v>
      </c>
      <c r="S18" s="53">
        <f>R18</f>
        <v>120000</v>
      </c>
      <c r="T18" s="65">
        <f>S18</f>
        <v>120000</v>
      </c>
    </row>
    <row r="19" spans="1:20" ht="16.5" customHeight="1" x14ac:dyDescent="0.25">
      <c r="A19" s="13">
        <v>37226</v>
      </c>
      <c r="B19" s="4">
        <f t="shared" si="13"/>
        <v>74936.180000000008</v>
      </c>
      <c r="C19" s="4">
        <f t="shared" si="10"/>
        <v>3746.81</v>
      </c>
      <c r="D19" s="4">
        <f t="shared" si="14"/>
        <v>9203.65</v>
      </c>
      <c r="E19" s="4">
        <f t="shared" si="17"/>
        <v>12950.46</v>
      </c>
      <c r="F19" s="4">
        <f t="shared" si="11"/>
        <v>14.99</v>
      </c>
      <c r="G19" s="4">
        <f t="shared" si="12"/>
        <v>12965.449999999999</v>
      </c>
      <c r="H19" s="19">
        <f t="shared" si="15"/>
        <v>65732.530000000013</v>
      </c>
      <c r="N19" s="35" t="s">
        <v>48</v>
      </c>
      <c r="O19" s="52"/>
      <c r="P19" s="53">
        <v>36000</v>
      </c>
      <c r="Q19" s="53">
        <v>28800</v>
      </c>
      <c r="R19" s="53">
        <v>21600</v>
      </c>
      <c r="S19" s="53">
        <v>14400</v>
      </c>
      <c r="T19" s="65">
        <v>7200</v>
      </c>
    </row>
    <row r="20" spans="1:20" ht="16.5" customHeight="1" x14ac:dyDescent="0.25">
      <c r="A20" s="13">
        <v>37408</v>
      </c>
      <c r="B20" s="4">
        <f t="shared" si="13"/>
        <v>65732.530000000013</v>
      </c>
      <c r="C20" s="4">
        <f t="shared" si="10"/>
        <v>3286.63</v>
      </c>
      <c r="D20" s="4">
        <f t="shared" si="14"/>
        <v>9663.8299999999981</v>
      </c>
      <c r="E20" s="4">
        <f t="shared" si="17"/>
        <v>12950.46</v>
      </c>
      <c r="F20" s="4">
        <f t="shared" si="11"/>
        <v>13.15</v>
      </c>
      <c r="G20" s="4">
        <f t="shared" si="12"/>
        <v>12963.609999999999</v>
      </c>
      <c r="H20" s="19">
        <f t="shared" si="15"/>
        <v>56068.700000000012</v>
      </c>
      <c r="N20" s="35" t="s">
        <v>49</v>
      </c>
      <c r="O20" s="52"/>
      <c r="P20" s="53">
        <f>P13-P14-P15-P16-P17-P18-P19</f>
        <v>88250</v>
      </c>
      <c r="Q20" s="53">
        <f t="shared" ref="Q20:T20" si="18">Q13-Q14-Q15-Q16-Q17-Q18-Q19</f>
        <v>198637.5</v>
      </c>
      <c r="R20" s="53">
        <f t="shared" si="18"/>
        <v>260456.25</v>
      </c>
      <c r="S20" s="53">
        <f t="shared" si="18"/>
        <v>336912.49</v>
      </c>
      <c r="T20" s="65">
        <f t="shared" si="18"/>
        <v>421953.43999999994</v>
      </c>
    </row>
    <row r="21" spans="1:20" ht="16.5" customHeight="1" x14ac:dyDescent="0.25">
      <c r="A21" s="13">
        <v>37591</v>
      </c>
      <c r="B21" s="4">
        <f t="shared" si="13"/>
        <v>56068.700000000012</v>
      </c>
      <c r="C21" s="4">
        <f t="shared" si="10"/>
        <v>2803.44</v>
      </c>
      <c r="D21" s="4">
        <f t="shared" si="14"/>
        <v>10147.019999999999</v>
      </c>
      <c r="E21" s="4">
        <f t="shared" si="17"/>
        <v>12950.46</v>
      </c>
      <c r="F21" s="4">
        <f t="shared" si="11"/>
        <v>11.21</v>
      </c>
      <c r="G21" s="4">
        <f t="shared" si="12"/>
        <v>12961.669999999998</v>
      </c>
      <c r="H21" s="19">
        <f t="shared" si="15"/>
        <v>45921.680000000015</v>
      </c>
      <c r="N21" s="35" t="s">
        <v>16</v>
      </c>
      <c r="O21" s="52"/>
      <c r="P21" s="53">
        <f>ROUND(P20*0.25,2)</f>
        <v>22062.5</v>
      </c>
      <c r="Q21" s="53">
        <f t="shared" ref="Q21:T21" si="19">ROUND(Q20*0.25,2)</f>
        <v>49659.38</v>
      </c>
      <c r="R21" s="53">
        <f t="shared" si="19"/>
        <v>65114.06</v>
      </c>
      <c r="S21" s="53">
        <f t="shared" si="19"/>
        <v>84228.12</v>
      </c>
      <c r="T21" s="65">
        <f t="shared" si="19"/>
        <v>105488.36</v>
      </c>
    </row>
    <row r="22" spans="1:20" ht="16.5" customHeight="1" x14ac:dyDescent="0.25">
      <c r="A22" s="13">
        <v>37773</v>
      </c>
      <c r="B22" s="4">
        <f t="shared" si="13"/>
        <v>45921.680000000015</v>
      </c>
      <c r="C22" s="4">
        <f t="shared" si="10"/>
        <v>2296.08</v>
      </c>
      <c r="D22" s="4">
        <f t="shared" si="14"/>
        <v>10654.38</v>
      </c>
      <c r="E22" s="4">
        <f t="shared" si="17"/>
        <v>12950.46</v>
      </c>
      <c r="F22" s="4">
        <f t="shared" si="11"/>
        <v>9.18</v>
      </c>
      <c r="G22" s="4">
        <f t="shared" si="12"/>
        <v>12959.64</v>
      </c>
      <c r="H22" s="19">
        <f t="shared" si="15"/>
        <v>35267.300000000017</v>
      </c>
      <c r="N22" s="35" t="s">
        <v>50</v>
      </c>
      <c r="O22" s="52"/>
      <c r="P22" s="53">
        <f>P20-P21</f>
        <v>66187.5</v>
      </c>
      <c r="Q22" s="53">
        <f t="shared" ref="Q22:T22" si="20">Q20-Q21</f>
        <v>148978.12</v>
      </c>
      <c r="R22" s="53">
        <f t="shared" si="20"/>
        <v>195342.19</v>
      </c>
      <c r="S22" s="53">
        <f t="shared" si="20"/>
        <v>252684.37</v>
      </c>
      <c r="T22" s="65">
        <f t="shared" si="20"/>
        <v>316465.07999999996</v>
      </c>
    </row>
    <row r="23" spans="1:20" ht="16.5" customHeight="1" x14ac:dyDescent="0.25">
      <c r="A23" s="13">
        <v>37956</v>
      </c>
      <c r="B23" s="4">
        <f t="shared" si="13"/>
        <v>35267.300000000017</v>
      </c>
      <c r="C23" s="4">
        <f t="shared" si="10"/>
        <v>1763.37</v>
      </c>
      <c r="D23" s="4">
        <f t="shared" si="14"/>
        <v>11187.09</v>
      </c>
      <c r="E23" s="4">
        <f t="shared" si="17"/>
        <v>12950.46</v>
      </c>
      <c r="F23" s="4">
        <f t="shared" si="11"/>
        <v>7.05</v>
      </c>
      <c r="G23" s="4">
        <f t="shared" si="12"/>
        <v>12957.509999999998</v>
      </c>
      <c r="H23" s="19">
        <f t="shared" si="15"/>
        <v>24080.210000000017</v>
      </c>
      <c r="N23" s="66" t="s">
        <v>17</v>
      </c>
      <c r="O23" s="67"/>
      <c r="P23" s="68">
        <f>P22+P18</f>
        <v>186187.5</v>
      </c>
      <c r="Q23" s="68">
        <f t="shared" ref="Q23:T23" si="21">Q22+Q18</f>
        <v>268978.12</v>
      </c>
      <c r="R23" s="68">
        <f t="shared" si="21"/>
        <v>315342.19</v>
      </c>
      <c r="S23" s="68">
        <f t="shared" si="21"/>
        <v>372684.37</v>
      </c>
      <c r="T23" s="69">
        <f t="shared" si="21"/>
        <v>436465.07999999996</v>
      </c>
    </row>
    <row r="24" spans="1:20" ht="16.5" customHeight="1" x14ac:dyDescent="0.25">
      <c r="A24" s="13">
        <v>38139</v>
      </c>
      <c r="B24" s="4">
        <f t="shared" si="13"/>
        <v>24080.210000000017</v>
      </c>
      <c r="C24" s="4">
        <f t="shared" si="10"/>
        <v>1204.01</v>
      </c>
      <c r="D24" s="4">
        <f t="shared" si="14"/>
        <v>11746.449999999999</v>
      </c>
      <c r="E24" s="4">
        <f t="shared" si="17"/>
        <v>12950.46</v>
      </c>
      <c r="F24" s="4">
        <f t="shared" si="11"/>
        <v>4.82</v>
      </c>
      <c r="G24" s="4">
        <f t="shared" si="12"/>
        <v>12955.279999999999</v>
      </c>
      <c r="H24" s="19">
        <f t="shared" si="15"/>
        <v>12333.760000000018</v>
      </c>
      <c r="N24" s="36"/>
      <c r="O24" s="36"/>
      <c r="P24" s="36"/>
      <c r="Q24" s="36"/>
      <c r="R24" s="36"/>
      <c r="S24" s="36"/>
      <c r="T24" s="36"/>
    </row>
    <row r="25" spans="1:20" ht="16.5" customHeight="1" x14ac:dyDescent="0.25">
      <c r="A25" s="15">
        <v>38322</v>
      </c>
      <c r="B25" s="16">
        <f t="shared" si="13"/>
        <v>12333.760000000018</v>
      </c>
      <c r="C25" s="16">
        <f t="shared" si="10"/>
        <v>616.69000000000005</v>
      </c>
      <c r="D25" s="16">
        <f>H24</f>
        <v>12333.760000000018</v>
      </c>
      <c r="E25" s="16">
        <f t="shared" si="17"/>
        <v>12950.46</v>
      </c>
      <c r="F25" s="16">
        <f t="shared" si="11"/>
        <v>2.4700000000000002</v>
      </c>
      <c r="G25" s="16">
        <f t="shared" si="12"/>
        <v>12952.929999999998</v>
      </c>
      <c r="H25" s="20">
        <f t="shared" si="15"/>
        <v>0</v>
      </c>
      <c r="N25" s="36"/>
      <c r="O25" s="36"/>
      <c r="P25" s="36"/>
      <c r="Q25" s="36"/>
      <c r="R25" s="36"/>
      <c r="S25" s="36"/>
      <c r="T25" s="36"/>
    </row>
    <row r="26" spans="1:20" ht="16.5" customHeight="1" x14ac:dyDescent="0.25">
      <c r="N26" s="31"/>
      <c r="O26" s="60">
        <v>0</v>
      </c>
      <c r="P26" s="60">
        <v>1</v>
      </c>
      <c r="Q26" s="60">
        <v>2</v>
      </c>
      <c r="R26" s="60">
        <v>3</v>
      </c>
      <c r="S26" s="60">
        <v>4</v>
      </c>
      <c r="T26" s="61">
        <v>5</v>
      </c>
    </row>
    <row r="27" spans="1:20" ht="16.5" customHeight="1" x14ac:dyDescent="0.25">
      <c r="A27" s="7" t="s">
        <v>59</v>
      </c>
      <c r="B27" s="8" t="s">
        <v>1</v>
      </c>
      <c r="C27" s="8" t="s">
        <v>3</v>
      </c>
      <c r="D27" s="8" t="s">
        <v>60</v>
      </c>
      <c r="E27" s="8" t="s">
        <v>61</v>
      </c>
      <c r="F27" s="8" t="s">
        <v>62</v>
      </c>
      <c r="G27" s="8" t="s">
        <v>63</v>
      </c>
      <c r="H27" s="9" t="s">
        <v>64</v>
      </c>
      <c r="J27" s="23" t="s">
        <v>85</v>
      </c>
      <c r="K27" s="26">
        <f>(1-(1+K2)^-8)/K2</f>
        <v>6.4632127594262556</v>
      </c>
      <c r="N27" s="32" t="s">
        <v>18</v>
      </c>
      <c r="O27" s="70"/>
      <c r="P27" s="70">
        <f>ROUND(P13*0.23,2)</f>
        <v>176640</v>
      </c>
      <c r="Q27" s="70">
        <f>ROUND(Q13*0.23,2)</f>
        <v>227700</v>
      </c>
      <c r="R27" s="70">
        <f>ROUND(R13*0.23,2)</f>
        <v>258060</v>
      </c>
      <c r="S27" s="70">
        <f>ROUND(S13*0.23,2)</f>
        <v>292215</v>
      </c>
      <c r="T27" s="71">
        <f>ROUND(T13*0.23,2)</f>
        <v>330620.40000000002</v>
      </c>
    </row>
    <row r="28" spans="1:20" ht="16.5" customHeight="1" x14ac:dyDescent="0.25">
      <c r="A28" s="10">
        <v>36526</v>
      </c>
      <c r="B28" s="11"/>
      <c r="C28" s="11"/>
      <c r="D28" s="11"/>
      <c r="E28" s="11"/>
      <c r="F28" s="11"/>
      <c r="G28" s="11"/>
      <c r="H28" s="21">
        <f>K1</f>
        <v>100000</v>
      </c>
      <c r="J28" s="26" t="s">
        <v>61</v>
      </c>
      <c r="K28" s="29">
        <f>ROUND(K1/K27,2)</f>
        <v>15472.18</v>
      </c>
      <c r="N28" s="35" t="s">
        <v>19</v>
      </c>
      <c r="O28" s="37"/>
      <c r="P28" s="37"/>
      <c r="Q28" s="37"/>
      <c r="R28" s="37"/>
      <c r="S28" s="37"/>
      <c r="T28" s="38"/>
    </row>
    <row r="29" spans="1:20" ht="16.5" customHeight="1" x14ac:dyDescent="0.25">
      <c r="A29" s="13">
        <v>36678</v>
      </c>
      <c r="B29" s="6">
        <f>H28</f>
        <v>100000</v>
      </c>
      <c r="C29" s="4">
        <f t="shared" ref="C29:C38" si="22">ROUND(B29*$K$2,2)</f>
        <v>5000</v>
      </c>
      <c r="D29" s="1"/>
      <c r="E29" s="6"/>
      <c r="F29" s="4">
        <f t="shared" ref="F29:F38" si="23">ROUND(C29*$K$3,2)</f>
        <v>20</v>
      </c>
      <c r="G29" s="6">
        <f>C29+D29+F29</f>
        <v>5020</v>
      </c>
      <c r="H29" s="19">
        <f>B29-D29</f>
        <v>100000</v>
      </c>
      <c r="N29" s="72" t="s">
        <v>20</v>
      </c>
      <c r="O29" s="54"/>
      <c r="P29" s="54">
        <f t="shared" ref="P29:T30" si="24">ROUND(P14*0.23,2)</f>
        <v>100625</v>
      </c>
      <c r="Q29" s="54">
        <f t="shared" si="24"/>
        <v>125235</v>
      </c>
      <c r="R29" s="54">
        <f t="shared" si="24"/>
        <v>140946.88</v>
      </c>
      <c r="S29" s="54">
        <f t="shared" si="24"/>
        <v>157136.72</v>
      </c>
      <c r="T29" s="73">
        <f t="shared" si="24"/>
        <v>175155.06</v>
      </c>
    </row>
    <row r="30" spans="1:20" ht="16.5" customHeight="1" x14ac:dyDescent="0.25">
      <c r="A30" s="13">
        <v>36861</v>
      </c>
      <c r="B30" s="6">
        <f t="shared" ref="B30:B38" si="25">H29</f>
        <v>100000</v>
      </c>
      <c r="C30" s="4">
        <f t="shared" si="22"/>
        <v>5000</v>
      </c>
      <c r="D30" s="1"/>
      <c r="E30" s="6"/>
      <c r="F30" s="4">
        <f t="shared" si="23"/>
        <v>20</v>
      </c>
      <c r="G30" s="6">
        <f t="shared" ref="G30:G38" si="26">C30+D30+F30</f>
        <v>5020</v>
      </c>
      <c r="H30" s="19">
        <f t="shared" ref="H30:H38" si="27">B30-D30</f>
        <v>100000</v>
      </c>
      <c r="N30" s="72" t="s">
        <v>12</v>
      </c>
      <c r="O30" s="54"/>
      <c r="P30" s="54">
        <f t="shared" si="24"/>
        <v>12937.5</v>
      </c>
      <c r="Q30" s="54">
        <f t="shared" si="24"/>
        <v>15654.38</v>
      </c>
      <c r="R30" s="54">
        <f t="shared" si="24"/>
        <v>17142.189999999999</v>
      </c>
      <c r="S30" s="54">
        <f t="shared" si="24"/>
        <v>18856.41</v>
      </c>
      <c r="T30" s="73">
        <f t="shared" si="24"/>
        <v>20742.05</v>
      </c>
    </row>
    <row r="31" spans="1:20" ht="16.5" customHeight="1" x14ac:dyDescent="0.25">
      <c r="A31" s="13">
        <v>37043</v>
      </c>
      <c r="B31" s="6">
        <f t="shared" si="25"/>
        <v>100000</v>
      </c>
      <c r="C31" s="4">
        <f t="shared" si="22"/>
        <v>5000</v>
      </c>
      <c r="D31" s="6">
        <f>E31-C31</f>
        <v>10472.18</v>
      </c>
      <c r="E31" s="6">
        <f>K28</f>
        <v>15472.18</v>
      </c>
      <c r="F31" s="4">
        <f t="shared" si="23"/>
        <v>20</v>
      </c>
      <c r="G31" s="6">
        <f t="shared" si="26"/>
        <v>15492.18</v>
      </c>
      <c r="H31" s="19">
        <f t="shared" si="27"/>
        <v>89527.82</v>
      </c>
      <c r="N31" s="72" t="s">
        <v>21</v>
      </c>
      <c r="O31" s="55">
        <v>138000</v>
      </c>
      <c r="P31" s="54"/>
      <c r="Q31" s="54"/>
      <c r="R31" s="54"/>
      <c r="S31" s="54"/>
      <c r="T31" s="73"/>
    </row>
    <row r="32" spans="1:20" ht="16.5" customHeight="1" x14ac:dyDescent="0.25">
      <c r="A32" s="13">
        <v>37226</v>
      </c>
      <c r="B32" s="6">
        <f t="shared" si="25"/>
        <v>89527.82</v>
      </c>
      <c r="C32" s="4">
        <f t="shared" si="22"/>
        <v>4476.3900000000003</v>
      </c>
      <c r="D32" s="6">
        <f t="shared" ref="D32:D37" si="28">E32-C32</f>
        <v>10995.79</v>
      </c>
      <c r="E32" s="6">
        <f>E31</f>
        <v>15472.18</v>
      </c>
      <c r="F32" s="4">
        <f t="shared" si="23"/>
        <v>17.91</v>
      </c>
      <c r="G32" s="6">
        <f t="shared" si="26"/>
        <v>15490.09</v>
      </c>
      <c r="H32" s="19">
        <f t="shared" si="27"/>
        <v>78532.03</v>
      </c>
      <c r="N32" s="74" t="s">
        <v>51</v>
      </c>
      <c r="O32" s="55"/>
      <c r="P32" s="54">
        <f>O31</f>
        <v>138000</v>
      </c>
      <c r="Q32" s="54">
        <f>-P33</f>
        <v>74922.5</v>
      </c>
      <c r="R32" s="54"/>
      <c r="S32" s="54"/>
      <c r="T32" s="73"/>
    </row>
    <row r="33" spans="1:20" ht="16.5" customHeight="1" x14ac:dyDescent="0.25">
      <c r="A33" s="13">
        <v>37408</v>
      </c>
      <c r="B33" s="6">
        <f t="shared" si="25"/>
        <v>78532.03</v>
      </c>
      <c r="C33" s="4">
        <f t="shared" si="22"/>
        <v>3926.6</v>
      </c>
      <c r="D33" s="6">
        <f t="shared" si="28"/>
        <v>11545.58</v>
      </c>
      <c r="E33" s="6">
        <f t="shared" ref="E33:E38" si="29">E32</f>
        <v>15472.18</v>
      </c>
      <c r="F33" s="4">
        <f t="shared" si="23"/>
        <v>15.71</v>
      </c>
      <c r="G33" s="6">
        <f t="shared" si="26"/>
        <v>15487.89</v>
      </c>
      <c r="H33" s="19">
        <f t="shared" si="27"/>
        <v>66986.45</v>
      </c>
      <c r="N33" s="35" t="s">
        <v>22</v>
      </c>
      <c r="O33" s="56"/>
      <c r="P33" s="56">
        <f>P27-P29-P30-P31-P32</f>
        <v>-74922.5</v>
      </c>
      <c r="Q33" s="56">
        <f>Q27-Q29-Q30-Q31-Q32</f>
        <v>11888.119999999995</v>
      </c>
      <c r="R33" s="56">
        <f t="shared" ref="R33:T33" si="30">R27-R29-R30-R31</f>
        <v>99970.93</v>
      </c>
      <c r="S33" s="56">
        <f t="shared" si="30"/>
        <v>116221.87</v>
      </c>
      <c r="T33" s="75">
        <f t="shared" si="30"/>
        <v>134723.29000000004</v>
      </c>
    </row>
    <row r="34" spans="1:20" ht="16.5" customHeight="1" x14ac:dyDescent="0.25">
      <c r="A34" s="13">
        <v>37591</v>
      </c>
      <c r="B34" s="6">
        <f t="shared" si="25"/>
        <v>66986.45</v>
      </c>
      <c r="C34" s="4">
        <f t="shared" si="22"/>
        <v>3349.32</v>
      </c>
      <c r="D34" s="6">
        <f t="shared" si="28"/>
        <v>12122.86</v>
      </c>
      <c r="E34" s="6">
        <f t="shared" si="29"/>
        <v>15472.18</v>
      </c>
      <c r="F34" s="4">
        <f t="shared" si="23"/>
        <v>13.4</v>
      </c>
      <c r="G34" s="6">
        <f t="shared" si="26"/>
        <v>15485.58</v>
      </c>
      <c r="H34" s="19">
        <f t="shared" si="27"/>
        <v>54863.59</v>
      </c>
      <c r="N34" s="76" t="s">
        <v>23</v>
      </c>
      <c r="O34" s="37">
        <f>O31</f>
        <v>138000</v>
      </c>
      <c r="P34" s="37">
        <f>-P33</f>
        <v>74922.5</v>
      </c>
      <c r="Q34" s="37"/>
      <c r="R34" s="37"/>
      <c r="S34" s="37"/>
      <c r="T34" s="38"/>
    </row>
    <row r="35" spans="1:20" ht="16.5" customHeight="1" x14ac:dyDescent="0.25">
      <c r="A35" s="13">
        <v>37773</v>
      </c>
      <c r="B35" s="6">
        <f t="shared" si="25"/>
        <v>54863.59</v>
      </c>
      <c r="C35" s="4">
        <f t="shared" si="22"/>
        <v>2743.18</v>
      </c>
      <c r="D35" s="6">
        <f t="shared" si="28"/>
        <v>12729</v>
      </c>
      <c r="E35" s="6">
        <f t="shared" si="29"/>
        <v>15472.18</v>
      </c>
      <c r="F35" s="4">
        <f t="shared" si="23"/>
        <v>10.97</v>
      </c>
      <c r="G35" s="6">
        <f t="shared" si="26"/>
        <v>15483.15</v>
      </c>
      <c r="H35" s="19">
        <f t="shared" si="27"/>
        <v>42134.59</v>
      </c>
      <c r="N35" s="76" t="s">
        <v>88</v>
      </c>
      <c r="O35" s="51"/>
      <c r="P35" s="51"/>
      <c r="Q35" s="37">
        <f>Q33</f>
        <v>11888.119999999995</v>
      </c>
      <c r="R35" s="37">
        <f t="shared" ref="R35:T35" si="31">R33</f>
        <v>99970.93</v>
      </c>
      <c r="S35" s="37">
        <f t="shared" si="31"/>
        <v>116221.87</v>
      </c>
      <c r="T35" s="38">
        <f t="shared" si="31"/>
        <v>134723.29000000004</v>
      </c>
    </row>
    <row r="36" spans="1:20" ht="16.5" customHeight="1" x14ac:dyDescent="0.25">
      <c r="A36" s="13">
        <v>37956</v>
      </c>
      <c r="B36" s="6">
        <f t="shared" si="25"/>
        <v>42134.59</v>
      </c>
      <c r="C36" s="4">
        <f t="shared" si="22"/>
        <v>2106.73</v>
      </c>
      <c r="D36" s="6">
        <f t="shared" si="28"/>
        <v>13365.45</v>
      </c>
      <c r="E36" s="6">
        <f t="shared" si="29"/>
        <v>15472.18</v>
      </c>
      <c r="F36" s="4">
        <f t="shared" si="23"/>
        <v>8.43</v>
      </c>
      <c r="G36" s="6">
        <f t="shared" si="26"/>
        <v>15480.61</v>
      </c>
      <c r="H36" s="19">
        <f t="shared" si="27"/>
        <v>28769.139999999996</v>
      </c>
      <c r="N36" s="77" t="s">
        <v>47</v>
      </c>
      <c r="O36" s="44"/>
      <c r="P36" s="44"/>
      <c r="Q36" s="44">
        <f>ROUND(Q35/12*1.5,2)</f>
        <v>1486.02</v>
      </c>
      <c r="R36" s="44">
        <f>ROUND(R33/12*1.5,2)</f>
        <v>12496.37</v>
      </c>
      <c r="S36" s="44">
        <f>ROUND(S33/12*1.5,2)</f>
        <v>14527.73</v>
      </c>
      <c r="T36" s="45">
        <f>ROUND(T33/12*1.5,2)</f>
        <v>16840.41</v>
      </c>
    </row>
    <row r="37" spans="1:20" ht="16.5" customHeight="1" x14ac:dyDescent="0.25">
      <c r="A37" s="13">
        <v>38139</v>
      </c>
      <c r="B37" s="6">
        <f t="shared" si="25"/>
        <v>28769.139999999996</v>
      </c>
      <c r="C37" s="4">
        <f t="shared" si="22"/>
        <v>1438.46</v>
      </c>
      <c r="D37" s="6">
        <f t="shared" si="28"/>
        <v>14033.720000000001</v>
      </c>
      <c r="E37" s="6">
        <f t="shared" si="29"/>
        <v>15472.18</v>
      </c>
      <c r="F37" s="4">
        <f t="shared" si="23"/>
        <v>5.75</v>
      </c>
      <c r="G37" s="6">
        <f t="shared" si="26"/>
        <v>15477.93</v>
      </c>
      <c r="H37" s="19">
        <f t="shared" si="27"/>
        <v>14735.419999999995</v>
      </c>
      <c r="N37" s="36"/>
      <c r="O37" s="36"/>
      <c r="P37" s="36"/>
      <c r="Q37" s="36"/>
      <c r="R37" s="36"/>
      <c r="S37" s="36"/>
      <c r="T37" s="36"/>
    </row>
    <row r="38" spans="1:20" ht="16.5" customHeight="1" x14ac:dyDescent="0.25">
      <c r="A38" s="15">
        <v>38322</v>
      </c>
      <c r="B38" s="22">
        <f t="shared" si="25"/>
        <v>14735.419999999995</v>
      </c>
      <c r="C38" s="16">
        <f t="shared" si="22"/>
        <v>736.77</v>
      </c>
      <c r="D38" s="22">
        <f>H37</f>
        <v>14735.419999999995</v>
      </c>
      <c r="E38" s="22">
        <f t="shared" si="29"/>
        <v>15472.18</v>
      </c>
      <c r="F38" s="16">
        <f t="shared" si="23"/>
        <v>2.95</v>
      </c>
      <c r="G38" s="22">
        <f t="shared" si="26"/>
        <v>15475.139999999996</v>
      </c>
      <c r="H38" s="20">
        <f t="shared" si="27"/>
        <v>0</v>
      </c>
      <c r="N38" s="31"/>
      <c r="O38" s="60">
        <v>0</v>
      </c>
      <c r="P38" s="60">
        <v>1</v>
      </c>
      <c r="Q38" s="60">
        <v>2</v>
      </c>
      <c r="R38" s="60">
        <v>3</v>
      </c>
      <c r="S38" s="60">
        <v>4</v>
      </c>
      <c r="T38" s="61">
        <v>5</v>
      </c>
    </row>
    <row r="39" spans="1:20" ht="16.5" customHeight="1" x14ac:dyDescent="0.25">
      <c r="N39" s="35" t="s">
        <v>24</v>
      </c>
      <c r="O39" s="55"/>
      <c r="P39" s="55">
        <f>ROUND(P5*P3,2)</f>
        <v>32000</v>
      </c>
      <c r="Q39" s="55">
        <f>ROUND(Q5*Q3,2)</f>
        <v>41250</v>
      </c>
      <c r="R39" s="55">
        <f>ROUND(R5*R3,2)</f>
        <v>46750</v>
      </c>
      <c r="S39" s="55">
        <f>ROUND(S5*S3,2)</f>
        <v>52937.5</v>
      </c>
      <c r="T39" s="78">
        <f>ROUND(T5*T3,2)</f>
        <v>59895</v>
      </c>
    </row>
    <row r="40" spans="1:20" ht="16.5" customHeight="1" x14ac:dyDescent="0.25">
      <c r="A40" s="7" t="s">
        <v>59</v>
      </c>
      <c r="B40" s="8" t="s">
        <v>1</v>
      </c>
      <c r="C40" s="8" t="s">
        <v>3</v>
      </c>
      <c r="D40" s="8" t="s">
        <v>60</v>
      </c>
      <c r="E40" s="8" t="s">
        <v>61</v>
      </c>
      <c r="F40" s="8" t="s">
        <v>62</v>
      </c>
      <c r="G40" s="8" t="s">
        <v>63</v>
      </c>
      <c r="H40" s="9" t="s">
        <v>64</v>
      </c>
      <c r="J40" s="23" t="s">
        <v>85</v>
      </c>
      <c r="K40" s="26">
        <f>(1-(1+K2)^-10)/K2</f>
        <v>7.7217349291848132</v>
      </c>
      <c r="N40" s="35" t="s">
        <v>25</v>
      </c>
      <c r="O40" s="55"/>
      <c r="P40" s="54">
        <f>ROUND(P13/12*1.23,2)</f>
        <v>78720</v>
      </c>
      <c r="Q40" s="54">
        <f>ROUND(Q13/12*2*1.23,2)</f>
        <v>202950</v>
      </c>
      <c r="R40" s="54">
        <f>ROUND(R13/12*2*1.23,2)</f>
        <v>230010</v>
      </c>
      <c r="S40" s="54">
        <f>ROUND(S13/12*2*1.23,2)</f>
        <v>260452.5</v>
      </c>
      <c r="T40" s="73">
        <f>ROUND(T13/12*2*1.23,2)</f>
        <v>294683.40000000002</v>
      </c>
    </row>
    <row r="41" spans="1:20" ht="16.5" customHeight="1" x14ac:dyDescent="0.25">
      <c r="A41" s="10">
        <v>36526</v>
      </c>
      <c r="B41" s="11"/>
      <c r="C41" s="11"/>
      <c r="D41" s="11"/>
      <c r="E41" s="11"/>
      <c r="F41" s="11"/>
      <c r="G41" s="11"/>
      <c r="H41" s="21">
        <f>K1-K43</f>
        <v>87721.734929184808</v>
      </c>
      <c r="J41" s="26" t="s">
        <v>61</v>
      </c>
      <c r="K41" s="122">
        <f>ROUND((K1-K43)/K40,2)</f>
        <v>11360.37</v>
      </c>
      <c r="N41" s="35" t="s">
        <v>26</v>
      </c>
      <c r="O41" s="37">
        <f>O34</f>
        <v>138000</v>
      </c>
      <c r="P41" s="37">
        <f>P34</f>
        <v>74922.5</v>
      </c>
      <c r="Q41" s="37"/>
      <c r="R41" s="37"/>
      <c r="S41" s="37"/>
      <c r="T41" s="38"/>
    </row>
    <row r="42" spans="1:20" ht="16.5" customHeight="1" x14ac:dyDescent="0.25">
      <c r="A42" s="13">
        <v>36678</v>
      </c>
      <c r="B42" s="6">
        <f>H41</f>
        <v>87721.734929184808</v>
      </c>
      <c r="C42" s="4">
        <f t="shared" ref="C42:C51" si="32">ROUND(B42*$K$2,2)</f>
        <v>4386.09</v>
      </c>
      <c r="D42" s="6">
        <f>E42-C42</f>
        <v>6974.2800000000007</v>
      </c>
      <c r="E42" s="120">
        <f>K41</f>
        <v>11360.37</v>
      </c>
      <c r="F42" s="4">
        <f t="shared" ref="F42:F51" si="33">ROUND(C42*$K$3,2)</f>
        <v>17.54</v>
      </c>
      <c r="G42" s="6">
        <f>E42+F42</f>
        <v>11377.910000000002</v>
      </c>
      <c r="H42" s="19">
        <f>B42-D42</f>
        <v>80747.454929184809</v>
      </c>
      <c r="J42" s="24" t="s">
        <v>86</v>
      </c>
      <c r="K42" s="30">
        <f>20%</f>
        <v>0.2</v>
      </c>
      <c r="N42" s="35" t="s">
        <v>52</v>
      </c>
      <c r="O42" s="37">
        <f>O39+O40+O41</f>
        <v>138000</v>
      </c>
      <c r="P42" s="37">
        <f t="shared" ref="P42:T42" si="34">P39+P40+P41</f>
        <v>185642.5</v>
      </c>
      <c r="Q42" s="37">
        <f t="shared" si="34"/>
        <v>244200</v>
      </c>
      <c r="R42" s="37">
        <f t="shared" si="34"/>
        <v>276760</v>
      </c>
      <c r="S42" s="37">
        <f t="shared" si="34"/>
        <v>313390</v>
      </c>
      <c r="T42" s="38">
        <f t="shared" si="34"/>
        <v>354578.4</v>
      </c>
    </row>
    <row r="43" spans="1:20" ht="16.5" customHeight="1" x14ac:dyDescent="0.25">
      <c r="A43" s="13">
        <v>36861</v>
      </c>
      <c r="B43" s="6">
        <f t="shared" ref="B43:B51" si="35">H42</f>
        <v>80747.454929184809</v>
      </c>
      <c r="C43" s="4">
        <f t="shared" si="32"/>
        <v>4037.37</v>
      </c>
      <c r="D43" s="6">
        <f t="shared" ref="D43:D50" si="36">E43-C43</f>
        <v>7323.0000000000009</v>
      </c>
      <c r="E43" s="120">
        <f>E42</f>
        <v>11360.37</v>
      </c>
      <c r="F43" s="4">
        <f t="shared" si="33"/>
        <v>16.149999999999999</v>
      </c>
      <c r="G43" s="6">
        <f t="shared" ref="G43:G51" si="37">E43+F43</f>
        <v>11376.52</v>
      </c>
      <c r="H43" s="19">
        <f t="shared" ref="H43:H51" si="38">B43-D43</f>
        <v>73424.454929184809</v>
      </c>
      <c r="J43" s="24" t="s">
        <v>87</v>
      </c>
      <c r="K43" s="29">
        <f>K42*K1*(1+K2)^-10</f>
        <v>12278.265070815187</v>
      </c>
      <c r="N43" s="35" t="s">
        <v>27</v>
      </c>
      <c r="O43" s="54"/>
      <c r="P43" s="54">
        <f>ROUND(P14/12*1.23,2)</f>
        <v>44843.75</v>
      </c>
      <c r="Q43" s="54">
        <f>ROUND(Q14/12*1.23,2)</f>
        <v>55811.25</v>
      </c>
      <c r="R43" s="54">
        <f>ROUND(R14/12*1.23,2)</f>
        <v>62813.279999999999</v>
      </c>
      <c r="S43" s="54">
        <f>ROUND(S14/12*1.23,2)</f>
        <v>70028.320000000007</v>
      </c>
      <c r="T43" s="73">
        <f>ROUND(T14/12*1.23,2)</f>
        <v>78058.23</v>
      </c>
    </row>
    <row r="44" spans="1:20" ht="16.5" customHeight="1" x14ac:dyDescent="0.25">
      <c r="A44" s="13">
        <v>37043</v>
      </c>
      <c r="B44" s="6">
        <f t="shared" si="35"/>
        <v>73424.454929184809</v>
      </c>
      <c r="C44" s="4">
        <f t="shared" si="32"/>
        <v>3671.22</v>
      </c>
      <c r="D44" s="6">
        <f t="shared" si="36"/>
        <v>7689.1500000000015</v>
      </c>
      <c r="E44" s="120">
        <f t="shared" ref="E44:E51" si="39">E43</f>
        <v>11360.37</v>
      </c>
      <c r="F44" s="4">
        <f t="shared" si="33"/>
        <v>14.68</v>
      </c>
      <c r="G44" s="6">
        <f t="shared" si="37"/>
        <v>11375.050000000001</v>
      </c>
      <c r="H44" s="19">
        <f t="shared" si="38"/>
        <v>65735.304929184815</v>
      </c>
      <c r="N44" s="35" t="s">
        <v>28</v>
      </c>
      <c r="O44" s="54"/>
      <c r="P44" s="54"/>
      <c r="Q44" s="54">
        <f>ROUND(Q33/12*1.5,2)</f>
        <v>1486.02</v>
      </c>
      <c r="R44" s="54">
        <f>ROUND(R33/12*1.5,2)</f>
        <v>12496.37</v>
      </c>
      <c r="S44" s="54">
        <f>ROUND(S33/12*1.5,2)</f>
        <v>14527.73</v>
      </c>
      <c r="T44" s="73">
        <f>ROUND(T33/12*1.5,2)</f>
        <v>16840.41</v>
      </c>
    </row>
    <row r="45" spans="1:20" ht="16.5" customHeight="1" x14ac:dyDescent="0.25">
      <c r="A45" s="13">
        <v>37226</v>
      </c>
      <c r="B45" s="6">
        <f t="shared" si="35"/>
        <v>65735.304929184815</v>
      </c>
      <c r="C45" s="4">
        <f t="shared" si="32"/>
        <v>3286.77</v>
      </c>
      <c r="D45" s="6">
        <f t="shared" si="36"/>
        <v>8073.6</v>
      </c>
      <c r="E45" s="120">
        <f t="shared" si="39"/>
        <v>11360.37</v>
      </c>
      <c r="F45" s="4">
        <f t="shared" si="33"/>
        <v>13.15</v>
      </c>
      <c r="G45" s="6">
        <f t="shared" si="37"/>
        <v>11373.52</v>
      </c>
      <c r="H45" s="19">
        <f t="shared" si="38"/>
        <v>57661.704929184816</v>
      </c>
      <c r="N45" s="35" t="s">
        <v>53</v>
      </c>
      <c r="O45" s="54"/>
      <c r="P45" s="54">
        <f t="shared" ref="P45:T45" si="40">P43+P44</f>
        <v>44843.75</v>
      </c>
      <c r="Q45" s="54">
        <f t="shared" si="40"/>
        <v>57297.27</v>
      </c>
      <c r="R45" s="54">
        <f t="shared" si="40"/>
        <v>75309.649999999994</v>
      </c>
      <c r="S45" s="54">
        <f t="shared" si="40"/>
        <v>84556.05</v>
      </c>
      <c r="T45" s="73">
        <f t="shared" si="40"/>
        <v>94898.64</v>
      </c>
    </row>
    <row r="46" spans="1:20" ht="16.5" customHeight="1" x14ac:dyDescent="0.25">
      <c r="A46" s="13">
        <v>37408</v>
      </c>
      <c r="B46" s="6">
        <f t="shared" si="35"/>
        <v>57661.704929184816</v>
      </c>
      <c r="C46" s="4">
        <f t="shared" si="32"/>
        <v>2883.09</v>
      </c>
      <c r="D46" s="6">
        <f t="shared" si="36"/>
        <v>8477.2800000000007</v>
      </c>
      <c r="E46" s="120">
        <f t="shared" si="39"/>
        <v>11360.37</v>
      </c>
      <c r="F46" s="4">
        <f t="shared" si="33"/>
        <v>11.53</v>
      </c>
      <c r="G46" s="6">
        <f t="shared" si="37"/>
        <v>11371.900000000001</v>
      </c>
      <c r="H46" s="19">
        <f t="shared" si="38"/>
        <v>49184.424929184817</v>
      </c>
      <c r="N46" s="35" t="s">
        <v>29</v>
      </c>
      <c r="O46" s="54">
        <f>O42-O45</f>
        <v>138000</v>
      </c>
      <c r="P46" s="54">
        <f t="shared" ref="P46:T46" si="41">P42-P45</f>
        <v>140798.75</v>
      </c>
      <c r="Q46" s="54">
        <f t="shared" si="41"/>
        <v>186902.73</v>
      </c>
      <c r="R46" s="54">
        <f t="shared" si="41"/>
        <v>201450.35</v>
      </c>
      <c r="S46" s="54">
        <f t="shared" si="41"/>
        <v>228833.95</v>
      </c>
      <c r="T46" s="73">
        <f t="shared" si="41"/>
        <v>259679.76</v>
      </c>
    </row>
    <row r="47" spans="1:20" ht="16.5" customHeight="1" x14ac:dyDescent="0.25">
      <c r="A47" s="13">
        <v>37591</v>
      </c>
      <c r="B47" s="6">
        <f t="shared" si="35"/>
        <v>49184.424929184817</v>
      </c>
      <c r="C47" s="4">
        <f t="shared" si="32"/>
        <v>2459.2199999999998</v>
      </c>
      <c r="D47" s="6">
        <f t="shared" si="36"/>
        <v>8901.1500000000015</v>
      </c>
      <c r="E47" s="120">
        <f t="shared" si="39"/>
        <v>11360.37</v>
      </c>
      <c r="F47" s="4">
        <f t="shared" si="33"/>
        <v>9.84</v>
      </c>
      <c r="G47" s="6">
        <f t="shared" si="37"/>
        <v>11370.210000000001</v>
      </c>
      <c r="H47" s="19">
        <f t="shared" si="38"/>
        <v>40283.274929184816</v>
      </c>
      <c r="N47" s="81" t="s">
        <v>89</v>
      </c>
      <c r="O47" s="79">
        <f>O46</f>
        <v>138000</v>
      </c>
      <c r="P47" s="79">
        <f>P46-O46</f>
        <v>2798.75</v>
      </c>
      <c r="Q47" s="79">
        <f>Q46-P46</f>
        <v>46103.98000000001</v>
      </c>
      <c r="R47" s="79">
        <f>R46-Q46</f>
        <v>14547.619999999995</v>
      </c>
      <c r="S47" s="79">
        <f>S46-R46</f>
        <v>27383.600000000006</v>
      </c>
      <c r="T47" s="80">
        <f>T46-S46</f>
        <v>30845.809999999998</v>
      </c>
    </row>
    <row r="48" spans="1:20" ht="16.5" customHeight="1" x14ac:dyDescent="0.25">
      <c r="A48" s="13">
        <v>37773</v>
      </c>
      <c r="B48" s="6">
        <f t="shared" si="35"/>
        <v>40283.274929184816</v>
      </c>
      <c r="C48" s="4">
        <f t="shared" si="32"/>
        <v>2014.16</v>
      </c>
      <c r="D48" s="6">
        <f t="shared" si="36"/>
        <v>9346.2100000000009</v>
      </c>
      <c r="E48" s="120">
        <f t="shared" si="39"/>
        <v>11360.37</v>
      </c>
      <c r="F48" s="4">
        <f t="shared" si="33"/>
        <v>8.06</v>
      </c>
      <c r="G48" s="6">
        <f t="shared" si="37"/>
        <v>11368.43</v>
      </c>
      <c r="H48" s="19">
        <f t="shared" si="38"/>
        <v>30937.064929184817</v>
      </c>
      <c r="N48" s="36"/>
      <c r="O48" s="36"/>
      <c r="P48" s="36"/>
      <c r="Q48" s="36"/>
      <c r="R48" s="36"/>
      <c r="S48" s="36"/>
      <c r="T48" s="36"/>
    </row>
    <row r="49" spans="1:20" ht="16.5" customHeight="1" x14ac:dyDescent="0.25">
      <c r="A49" s="13">
        <v>37956</v>
      </c>
      <c r="B49" s="6">
        <f t="shared" si="35"/>
        <v>30937.064929184817</v>
      </c>
      <c r="C49" s="4">
        <f t="shared" si="32"/>
        <v>1546.85</v>
      </c>
      <c r="D49" s="6">
        <f t="shared" si="36"/>
        <v>9813.52</v>
      </c>
      <c r="E49" s="120">
        <f t="shared" si="39"/>
        <v>11360.37</v>
      </c>
      <c r="F49" s="4">
        <f t="shared" si="33"/>
        <v>6.19</v>
      </c>
      <c r="G49" s="6">
        <f t="shared" si="37"/>
        <v>11366.560000000001</v>
      </c>
      <c r="H49" s="19">
        <f t="shared" si="38"/>
        <v>21123.544929184816</v>
      </c>
      <c r="N49" s="36"/>
      <c r="O49" s="57"/>
      <c r="P49" s="57"/>
      <c r="Q49" s="57"/>
      <c r="R49" s="57"/>
      <c r="S49" s="57"/>
      <c r="T49" s="57"/>
    </row>
    <row r="50" spans="1:20" ht="16.5" customHeight="1" x14ac:dyDescent="0.25">
      <c r="A50" s="13">
        <v>38139</v>
      </c>
      <c r="B50" s="6">
        <f t="shared" si="35"/>
        <v>21123.544929184816</v>
      </c>
      <c r="C50" s="4">
        <f t="shared" si="32"/>
        <v>1056.18</v>
      </c>
      <c r="D50" s="6">
        <f t="shared" si="36"/>
        <v>10304.19</v>
      </c>
      <c r="E50" s="120">
        <f t="shared" si="39"/>
        <v>11360.37</v>
      </c>
      <c r="F50" s="4">
        <f t="shared" si="33"/>
        <v>4.22</v>
      </c>
      <c r="G50" s="6">
        <f t="shared" si="37"/>
        <v>11364.59</v>
      </c>
      <c r="H50" s="19">
        <f t="shared" si="38"/>
        <v>10819.354929184816</v>
      </c>
      <c r="N50" s="31"/>
      <c r="O50" s="60">
        <v>0</v>
      </c>
      <c r="P50" s="60">
        <v>1</v>
      </c>
      <c r="Q50" s="60">
        <v>2</v>
      </c>
      <c r="R50" s="60">
        <v>3</v>
      </c>
      <c r="S50" s="60">
        <v>4</v>
      </c>
      <c r="T50" s="61">
        <v>5</v>
      </c>
    </row>
    <row r="51" spans="1:20" ht="16.5" customHeight="1" x14ac:dyDescent="0.25">
      <c r="A51" s="15">
        <v>38322</v>
      </c>
      <c r="B51" s="22">
        <f t="shared" si="35"/>
        <v>10819.354929184816</v>
      </c>
      <c r="C51" s="16">
        <f t="shared" si="32"/>
        <v>540.97</v>
      </c>
      <c r="D51" s="22">
        <f>H50</f>
        <v>10819.354929184816</v>
      </c>
      <c r="E51" s="121">
        <f t="shared" si="39"/>
        <v>11360.37</v>
      </c>
      <c r="F51" s="16">
        <f t="shared" si="33"/>
        <v>2.16</v>
      </c>
      <c r="G51" s="22">
        <f t="shared" si="37"/>
        <v>11362.53</v>
      </c>
      <c r="H51" s="20">
        <f t="shared" si="38"/>
        <v>0</v>
      </c>
      <c r="N51" s="82" t="s">
        <v>30</v>
      </c>
      <c r="O51" s="58"/>
      <c r="P51" s="58"/>
      <c r="Q51" s="58"/>
      <c r="R51" s="58"/>
      <c r="S51" s="58"/>
      <c r="T51" s="83"/>
    </row>
    <row r="52" spans="1:20" ht="16.5" customHeight="1" x14ac:dyDescent="0.25">
      <c r="N52" s="35" t="s">
        <v>54</v>
      </c>
      <c r="O52" s="55"/>
      <c r="P52" s="55">
        <f>P23</f>
        <v>186187.5</v>
      </c>
      <c r="Q52" s="55">
        <f>Q23</f>
        <v>268978.12</v>
      </c>
      <c r="R52" s="55">
        <f>R23</f>
        <v>315342.19</v>
      </c>
      <c r="S52" s="55">
        <f>S23</f>
        <v>372684.37</v>
      </c>
      <c r="T52" s="78">
        <f>T23</f>
        <v>436465.07999999996</v>
      </c>
    </row>
    <row r="53" spans="1:20" ht="16.5" customHeight="1" x14ac:dyDescent="0.25">
      <c r="A53" s="5" t="s">
        <v>96</v>
      </c>
      <c r="N53" s="35" t="s">
        <v>55</v>
      </c>
      <c r="O53" s="58"/>
      <c r="P53" s="58"/>
      <c r="Q53" s="58"/>
      <c r="R53" s="58"/>
      <c r="S53" s="58"/>
      <c r="T53" s="83">
        <f>T46</f>
        <v>259679.76</v>
      </c>
    </row>
    <row r="54" spans="1:20" ht="16.5" customHeight="1" x14ac:dyDescent="0.25">
      <c r="A54" s="5" t="s">
        <v>97</v>
      </c>
      <c r="N54" s="35" t="s">
        <v>57</v>
      </c>
      <c r="O54" s="58"/>
      <c r="P54" s="58"/>
      <c r="Q54" s="58"/>
      <c r="R54" s="58"/>
      <c r="S54" s="58"/>
      <c r="T54" s="83">
        <v>0</v>
      </c>
    </row>
    <row r="55" spans="1:20" ht="16.5" customHeight="1" x14ac:dyDescent="0.25">
      <c r="N55" s="72" t="s">
        <v>31</v>
      </c>
      <c r="O55" s="55">
        <f>O52+O53+O54</f>
        <v>0</v>
      </c>
      <c r="P55" s="55">
        <f t="shared" ref="P55:T55" si="42">P52+P53+P54</f>
        <v>186187.5</v>
      </c>
      <c r="Q55" s="55">
        <f t="shared" si="42"/>
        <v>268978.12</v>
      </c>
      <c r="R55" s="55">
        <f t="shared" si="42"/>
        <v>315342.19</v>
      </c>
      <c r="S55" s="55">
        <f t="shared" si="42"/>
        <v>372684.37</v>
      </c>
      <c r="T55" s="78">
        <f t="shared" si="42"/>
        <v>696144.84</v>
      </c>
    </row>
    <row r="56" spans="1:20" ht="16.5" customHeight="1" x14ac:dyDescent="0.25">
      <c r="N56" s="82" t="s">
        <v>32</v>
      </c>
      <c r="O56" s="58"/>
      <c r="P56" s="58"/>
      <c r="Q56" s="58"/>
      <c r="R56" s="58"/>
      <c r="S56" s="58"/>
      <c r="T56" s="83"/>
    </row>
    <row r="57" spans="1:20" ht="16.5" customHeight="1" x14ac:dyDescent="0.25">
      <c r="N57" s="35" t="s">
        <v>56</v>
      </c>
      <c r="O57" s="55">
        <f>O2</f>
        <v>600000</v>
      </c>
      <c r="P57" s="58"/>
      <c r="Q57" s="58"/>
      <c r="R57" s="58"/>
      <c r="S57" s="58"/>
      <c r="T57" s="83"/>
    </row>
    <row r="58" spans="1:20" ht="16.5" customHeight="1" x14ac:dyDescent="0.25">
      <c r="N58" s="35" t="s">
        <v>58</v>
      </c>
      <c r="O58" s="55">
        <f t="shared" ref="O58:T58" si="43">O47</f>
        <v>138000</v>
      </c>
      <c r="P58" s="55">
        <f t="shared" si="43"/>
        <v>2798.75</v>
      </c>
      <c r="Q58" s="55">
        <f t="shared" si="43"/>
        <v>46103.98000000001</v>
      </c>
      <c r="R58" s="55">
        <f t="shared" si="43"/>
        <v>14547.619999999995</v>
      </c>
      <c r="S58" s="55">
        <f t="shared" si="43"/>
        <v>27383.600000000006</v>
      </c>
      <c r="T58" s="78">
        <f t="shared" si="43"/>
        <v>30845.809999999998</v>
      </c>
    </row>
    <row r="59" spans="1:20" ht="16.5" customHeight="1" x14ac:dyDescent="0.25">
      <c r="N59" s="72" t="s">
        <v>31</v>
      </c>
      <c r="O59" s="55">
        <f>O57+O58</f>
        <v>738000</v>
      </c>
      <c r="P59" s="55">
        <f t="shared" ref="P59:T59" si="44">P57+P58</f>
        <v>2798.75</v>
      </c>
      <c r="Q59" s="55">
        <f t="shared" si="44"/>
        <v>46103.98000000001</v>
      </c>
      <c r="R59" s="55">
        <f t="shared" si="44"/>
        <v>14547.619999999995</v>
      </c>
      <c r="S59" s="55">
        <f t="shared" si="44"/>
        <v>27383.600000000006</v>
      </c>
      <c r="T59" s="78">
        <f t="shared" si="44"/>
        <v>30845.809999999998</v>
      </c>
    </row>
    <row r="60" spans="1:20" ht="16.5" customHeight="1" x14ac:dyDescent="0.25">
      <c r="N60" s="66" t="s">
        <v>90</v>
      </c>
      <c r="O60" s="84">
        <f>O55-O59</f>
        <v>-738000</v>
      </c>
      <c r="P60" s="84">
        <f t="shared" ref="P60:T60" si="45">P55-P59</f>
        <v>183388.75</v>
      </c>
      <c r="Q60" s="84">
        <f t="shared" si="45"/>
        <v>222874.13999999998</v>
      </c>
      <c r="R60" s="84">
        <f t="shared" si="45"/>
        <v>300794.57</v>
      </c>
      <c r="S60" s="84">
        <f t="shared" si="45"/>
        <v>345300.77</v>
      </c>
      <c r="T60" s="85">
        <f t="shared" si="45"/>
        <v>665299.03</v>
      </c>
    </row>
    <row r="61" spans="1:20" ht="16.5" customHeight="1" x14ac:dyDescent="0.25">
      <c r="N61" s="36"/>
      <c r="O61" s="36"/>
      <c r="P61" s="36"/>
      <c r="Q61" s="36"/>
      <c r="R61" s="36"/>
      <c r="S61" s="36"/>
      <c r="T61" s="36"/>
    </row>
    <row r="62" spans="1:20" ht="16.5" customHeight="1" x14ac:dyDescent="0.25">
      <c r="N62" s="92" t="s">
        <v>33</v>
      </c>
      <c r="O62" s="36"/>
      <c r="P62" s="36"/>
      <c r="Q62" s="36"/>
      <c r="R62" s="36"/>
      <c r="S62" s="36"/>
      <c r="T62" s="36"/>
    </row>
    <row r="63" spans="1:20" ht="16.5" customHeight="1" x14ac:dyDescent="0.25">
      <c r="N63" s="93">
        <f>ROUND((1.05*1.04)/1.025-1,6)</f>
        <v>6.5365999999999994E-2</v>
      </c>
      <c r="O63" s="36"/>
      <c r="P63" s="36"/>
      <c r="Q63" s="36"/>
      <c r="R63" s="36"/>
      <c r="S63" s="36"/>
      <c r="T63" s="36"/>
    </row>
    <row r="64" spans="1:20" ht="16.5" customHeight="1" x14ac:dyDescent="0.25">
      <c r="N64" s="36"/>
      <c r="O64" s="36"/>
      <c r="P64" s="36"/>
      <c r="Q64" s="36"/>
      <c r="R64" s="36"/>
      <c r="S64" s="36"/>
      <c r="T64" s="36"/>
    </row>
    <row r="65" spans="14:23" ht="16.5" customHeight="1" x14ac:dyDescent="0.25">
      <c r="N65" s="36"/>
      <c r="O65" s="36"/>
      <c r="P65" s="36"/>
      <c r="Q65" s="36"/>
      <c r="R65" s="36"/>
      <c r="S65" s="36"/>
      <c r="T65" s="36"/>
    </row>
    <row r="66" spans="14:23" ht="16.5" customHeight="1" x14ac:dyDescent="0.25">
      <c r="N66" s="31"/>
      <c r="O66" s="60">
        <v>0</v>
      </c>
      <c r="P66" s="60">
        <v>1</v>
      </c>
      <c r="Q66" s="60">
        <v>2</v>
      </c>
      <c r="R66" s="60">
        <v>3</v>
      </c>
      <c r="S66" s="60">
        <v>4</v>
      </c>
      <c r="T66" s="61">
        <v>5</v>
      </c>
    </row>
    <row r="67" spans="14:23" ht="16.5" customHeight="1" x14ac:dyDescent="0.25">
      <c r="N67" s="86" t="s">
        <v>90</v>
      </c>
      <c r="O67" s="87">
        <f t="shared" ref="O67:T67" si="46">O60</f>
        <v>-738000</v>
      </c>
      <c r="P67" s="87">
        <f t="shared" si="46"/>
        <v>183388.75</v>
      </c>
      <c r="Q67" s="87">
        <f t="shared" si="46"/>
        <v>222874.13999999998</v>
      </c>
      <c r="R67" s="87">
        <f t="shared" si="46"/>
        <v>300794.57</v>
      </c>
      <c r="S67" s="87">
        <f t="shared" si="46"/>
        <v>345300.77</v>
      </c>
      <c r="T67" s="88">
        <f t="shared" si="46"/>
        <v>665299.03</v>
      </c>
    </row>
    <row r="68" spans="14:23" ht="16.5" customHeight="1" x14ac:dyDescent="0.25">
      <c r="N68" s="35" t="s">
        <v>34</v>
      </c>
      <c r="O68" s="59">
        <f t="shared" ref="O68:T68" si="47">(1+$N$63)^-O66</f>
        <v>1</v>
      </c>
      <c r="P68" s="59">
        <f t="shared" si="47"/>
        <v>0.93864455970999638</v>
      </c>
      <c r="Q68" s="59">
        <f t="shared" si="47"/>
        <v>0.88105360947317291</v>
      </c>
      <c r="R68" s="59">
        <f t="shared" si="47"/>
        <v>0.82699617734484954</v>
      </c>
      <c r="S68" s="59">
        <f t="shared" si="47"/>
        <v>0.77625546276570645</v>
      </c>
      <c r="T68" s="89">
        <f t="shared" si="47"/>
        <v>0.72862796707019595</v>
      </c>
    </row>
    <row r="69" spans="14:23" ht="16.5" customHeight="1" x14ac:dyDescent="0.25">
      <c r="N69" s="35" t="s">
        <v>91</v>
      </c>
      <c r="O69" s="55">
        <f>ROUND(O67*O68,2)</f>
        <v>-738000</v>
      </c>
      <c r="P69" s="55">
        <f t="shared" ref="P69:T69" si="48">ROUND(P67*P68,2)</f>
        <v>172136.85</v>
      </c>
      <c r="Q69" s="55">
        <f t="shared" si="48"/>
        <v>196364.07</v>
      </c>
      <c r="R69" s="55">
        <f t="shared" si="48"/>
        <v>248755.96</v>
      </c>
      <c r="S69" s="55">
        <f t="shared" si="48"/>
        <v>268041.61</v>
      </c>
      <c r="T69" s="78">
        <f t="shared" si="48"/>
        <v>484755.48</v>
      </c>
    </row>
    <row r="70" spans="14:23" ht="16.5" customHeight="1" x14ac:dyDescent="0.25">
      <c r="N70" s="66" t="s">
        <v>92</v>
      </c>
      <c r="O70" s="90">
        <f>O69</f>
        <v>-738000</v>
      </c>
      <c r="P70" s="90">
        <f>O70+P69</f>
        <v>-565863.15</v>
      </c>
      <c r="Q70" s="90">
        <f>P70+Q69</f>
        <v>-369499.08</v>
      </c>
      <c r="R70" s="90">
        <f>Q70+R69</f>
        <v>-120743.12000000002</v>
      </c>
      <c r="S70" s="90">
        <f>R70+S69</f>
        <v>147298.48999999996</v>
      </c>
      <c r="T70" s="91">
        <f>S70+T69</f>
        <v>632053.97</v>
      </c>
      <c r="V70" s="94" t="s">
        <v>93</v>
      </c>
      <c r="W70" s="110">
        <f>NPV(N63,P67:T67)+O67</f>
        <v>632053.96629321156</v>
      </c>
    </row>
    <row r="71" spans="14:23" ht="16.5" customHeight="1" x14ac:dyDescent="0.25">
      <c r="N71" s="36"/>
      <c r="O71" s="36"/>
      <c r="P71" s="36"/>
      <c r="Q71" s="36"/>
      <c r="R71" s="36"/>
      <c r="S71" s="36"/>
      <c r="T71" s="36"/>
      <c r="V71" s="94" t="s">
        <v>94</v>
      </c>
      <c r="W71" s="111">
        <f>IRR(O67:T67)</f>
        <v>0.28387421539784929</v>
      </c>
    </row>
    <row r="72" spans="14:23" ht="16.5" customHeight="1" x14ac:dyDescent="0.25">
      <c r="O72" s="36"/>
      <c r="P72" s="36"/>
      <c r="Q72" s="36"/>
      <c r="R72" s="36"/>
      <c r="S72" s="36"/>
      <c r="T72" s="36"/>
    </row>
    <row r="73" spans="14:23" ht="16.5" customHeight="1" x14ac:dyDescent="0.25">
      <c r="N73" s="96"/>
      <c r="O73" s="97">
        <v>0</v>
      </c>
      <c r="P73" s="97">
        <v>1</v>
      </c>
      <c r="Q73" s="97">
        <v>2</v>
      </c>
      <c r="R73" s="97">
        <v>3</v>
      </c>
      <c r="S73" s="97">
        <v>4</v>
      </c>
      <c r="T73" s="98">
        <v>5</v>
      </c>
    </row>
    <row r="74" spans="14:23" ht="16.5" customHeight="1" x14ac:dyDescent="0.25">
      <c r="N74" s="99" t="s">
        <v>35</v>
      </c>
      <c r="O74" s="100">
        <f t="shared" ref="O74:T74" si="49">O67</f>
        <v>-738000</v>
      </c>
      <c r="P74" s="100">
        <f t="shared" si="49"/>
        <v>183388.75</v>
      </c>
      <c r="Q74" s="100">
        <f t="shared" si="49"/>
        <v>222874.13999999998</v>
      </c>
      <c r="R74" s="100">
        <f t="shared" si="49"/>
        <v>300794.57</v>
      </c>
      <c r="S74" s="100">
        <f t="shared" si="49"/>
        <v>345300.77</v>
      </c>
      <c r="T74" s="101">
        <f t="shared" si="49"/>
        <v>665299.03</v>
      </c>
    </row>
    <row r="75" spans="14:23" ht="16.5" customHeight="1" x14ac:dyDescent="0.25">
      <c r="N75" s="102" t="s">
        <v>36</v>
      </c>
      <c r="O75" s="103">
        <f>O74</f>
        <v>-738000</v>
      </c>
      <c r="P75" s="103">
        <f>O75+P74</f>
        <v>-554611.25</v>
      </c>
      <c r="Q75" s="103">
        <f t="shared" ref="Q75:T75" si="50">P75+Q74</f>
        <v>-331737.11</v>
      </c>
      <c r="R75" s="103">
        <f t="shared" si="50"/>
        <v>-30942.539999999979</v>
      </c>
      <c r="S75" s="103">
        <f t="shared" si="50"/>
        <v>314358.23000000004</v>
      </c>
      <c r="T75" s="104">
        <f t="shared" si="50"/>
        <v>979657.26</v>
      </c>
      <c r="V75" s="2" t="s">
        <v>95</v>
      </c>
      <c r="W75" s="119">
        <f>-R75/S74*365</f>
        <v>32.707795873145585</v>
      </c>
    </row>
    <row r="76" spans="14:23" ht="16.5" customHeight="1" x14ac:dyDescent="0.25">
      <c r="N76" s="5"/>
      <c r="O76" s="5"/>
    </row>
    <row r="77" spans="14:23" ht="16.5" customHeight="1" x14ac:dyDescent="0.25">
      <c r="N77" s="5"/>
      <c r="O77" s="5"/>
      <c r="P77" s="105">
        <f>ROUND(P74*(1.08)^5-P73,2)</f>
        <v>269457.24</v>
      </c>
      <c r="Q77" s="106">
        <f>ROUND(Q74*(1.08)^5-Q73,2)</f>
        <v>327473.23</v>
      </c>
      <c r="R77" s="106">
        <f>ROUND(R74*(1.08)^5-R73,2)</f>
        <v>441962.91</v>
      </c>
      <c r="S77" s="107">
        <f>ROUND(S74*(1.08)^5-S73,2)</f>
        <v>507356.12</v>
      </c>
      <c r="T77" s="108">
        <f>ROUND(T74*(1.08)^5-T73,2)</f>
        <v>977537.54</v>
      </c>
    </row>
    <row r="78" spans="14:23" ht="16.5" customHeight="1" x14ac:dyDescent="0.25">
      <c r="N78" s="5"/>
      <c r="O78" s="5"/>
      <c r="P78" s="5"/>
      <c r="Q78" s="5"/>
      <c r="R78" s="5"/>
      <c r="S78" s="26" t="s">
        <v>38</v>
      </c>
      <c r="T78" s="109">
        <f>ROUND(SUM(P77:T77)/(1+N63)-600000,2)</f>
        <v>1768938.97</v>
      </c>
    </row>
    <row r="79" spans="14:23" ht="16.5" customHeight="1" x14ac:dyDescent="0.25">
      <c r="P79" s="5"/>
      <c r="Q79" s="5"/>
      <c r="R79" s="5"/>
      <c r="S79" s="26" t="s">
        <v>39</v>
      </c>
      <c r="T79" s="123">
        <f>T78/600000</f>
        <v>2.9482316166666664</v>
      </c>
    </row>
    <row r="81" spans="14:14" ht="16.5" customHeight="1" x14ac:dyDescent="0.25">
      <c r="N81" t="s">
        <v>96</v>
      </c>
    </row>
    <row r="82" spans="14:14" ht="16.5" customHeight="1" x14ac:dyDescent="0.25">
      <c r="N82" s="5" t="s">
        <v>98</v>
      </c>
    </row>
  </sheetData>
  <sheetProtection algorithmName="SHA-512" hashValue="Aofe1Hl+PVJwV26ERjD5bb1PLpOTHR0hL9wCiXQlhyIhfj66uFtQQWvI+mfR+d5LRKjgD8lVpblP6G9vpCoKlQ==" saltValue="mYzZlyIuZFnabsJF7FfRF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Ferreira</dc:creator>
  <cp:lastModifiedBy>Paulo Ferreira</cp:lastModifiedBy>
  <dcterms:created xsi:type="dcterms:W3CDTF">2014-08-23T20:40:49Z</dcterms:created>
  <dcterms:modified xsi:type="dcterms:W3CDTF">2014-10-02T20:46:26Z</dcterms:modified>
</cp:coreProperties>
</file>