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 Ferreira\Desktop\Paulo\Livros\Livro princípios gestão financeira\Ficheiros Excel Finais\"/>
    </mc:Choice>
  </mc:AlternateContent>
  <bookViews>
    <workbookView xWindow="0" yWindow="0" windowWidth="21570" windowHeight="814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1" l="1"/>
  <c r="V3" i="1"/>
  <c r="U3" i="1"/>
  <c r="T3" i="1"/>
  <c r="S3" i="1"/>
  <c r="R3" i="1"/>
  <c r="B96" i="1" l="1"/>
  <c r="C88" i="1"/>
  <c r="E84" i="1"/>
  <c r="H83" i="1" s="1"/>
  <c r="F100" i="1" s="1"/>
  <c r="J100" i="1" s="1"/>
  <c r="E83" i="1"/>
  <c r="B65" i="1"/>
  <c r="C62" i="1"/>
  <c r="B64" i="1" s="1"/>
  <c r="B37" i="1"/>
  <c r="C37" i="1" s="1"/>
  <c r="G31" i="1"/>
  <c r="J27" i="1"/>
  <c r="B27" i="1"/>
  <c r="B38" i="1" s="1"/>
  <c r="C39" i="1" s="1"/>
  <c r="B3" i="1"/>
  <c r="C3" i="1" s="1"/>
  <c r="C2" i="1"/>
  <c r="B69" i="1" s="1"/>
  <c r="C89" i="1" l="1"/>
  <c r="B98" i="1" s="1"/>
  <c r="F99" i="1" s="1"/>
  <c r="J99" i="1" s="1"/>
  <c r="J94" i="1"/>
  <c r="H94" i="1"/>
  <c r="F94" i="1"/>
  <c r="D94" i="1"/>
  <c r="H101" i="1"/>
  <c r="F101" i="1"/>
  <c r="D101" i="1"/>
  <c r="J101" i="1"/>
  <c r="C93" i="1"/>
  <c r="C95" i="1" s="1"/>
  <c r="B92" i="1"/>
  <c r="B103" i="1" s="1"/>
  <c r="C96" i="1"/>
  <c r="D93" i="1" s="1"/>
  <c r="D96" i="1" s="1"/>
  <c r="E93" i="1" s="1"/>
  <c r="C43" i="1"/>
  <c r="D39" i="1" s="1"/>
  <c r="C41" i="1"/>
  <c r="C47" i="1" s="1"/>
  <c r="C103" i="1"/>
  <c r="C46" i="1"/>
  <c r="C49" i="1"/>
  <c r="D37" i="1"/>
  <c r="B70" i="1"/>
  <c r="B74" i="1" s="1"/>
  <c r="C70" i="1" s="1"/>
  <c r="B76" i="1"/>
  <c r="B77" i="1"/>
  <c r="B61" i="1"/>
  <c r="C73" i="1" s="1"/>
  <c r="H31" i="1"/>
  <c r="E42" i="1" s="1"/>
  <c r="D40" i="1"/>
  <c r="B45" i="1"/>
  <c r="B14" i="1"/>
  <c r="D95" i="1" l="1"/>
  <c r="F102" i="1"/>
  <c r="J102" i="1" s="1"/>
  <c r="D46" i="1"/>
  <c r="F42" i="1"/>
  <c r="B23" i="1"/>
  <c r="R2" i="1" s="1"/>
  <c r="R4" i="1" s="1"/>
  <c r="R5" i="1" s="1"/>
  <c r="C15" i="1"/>
  <c r="C16" i="1"/>
  <c r="C72" i="1"/>
  <c r="C71" i="1" s="1"/>
  <c r="C74" i="1" s="1"/>
  <c r="D70" i="1" s="1"/>
  <c r="D73" i="1"/>
  <c r="E95" i="1"/>
  <c r="E96" i="1"/>
  <c r="F93" i="1" s="1"/>
  <c r="E37" i="1"/>
  <c r="D49" i="1"/>
  <c r="D50" i="1" s="1"/>
  <c r="C51" i="1"/>
  <c r="C55" i="1" s="1"/>
  <c r="B53" i="1"/>
  <c r="D43" i="1"/>
  <c r="E39" i="1" s="1"/>
  <c r="D41" i="1"/>
  <c r="D47" i="1" s="1"/>
  <c r="D51" i="1" s="1"/>
  <c r="D103" i="1" l="1"/>
  <c r="D97" i="1"/>
  <c r="D72" i="1"/>
  <c r="D75" i="1" s="1"/>
  <c r="F96" i="1"/>
  <c r="G93" i="1" s="1"/>
  <c r="F95" i="1"/>
  <c r="F97" i="1" s="1"/>
  <c r="E49" i="1"/>
  <c r="F37" i="1"/>
  <c r="D54" i="1"/>
  <c r="F54" i="1" s="1"/>
  <c r="H54" i="1" s="1"/>
  <c r="B51" i="1"/>
  <c r="B55" i="1" s="1"/>
  <c r="E103" i="1"/>
  <c r="D16" i="1"/>
  <c r="E73" i="1"/>
  <c r="C17" i="1"/>
  <c r="C19" i="1"/>
  <c r="D15" i="1" s="1"/>
  <c r="G42" i="1"/>
  <c r="C76" i="1"/>
  <c r="C77" i="1"/>
  <c r="E41" i="1"/>
  <c r="D48" i="1"/>
  <c r="D52" i="1" l="1"/>
  <c r="D55" i="1" s="1"/>
  <c r="D71" i="1"/>
  <c r="D74" i="1" s="1"/>
  <c r="E70" i="1" s="1"/>
  <c r="C18" i="1"/>
  <c r="E47" i="1"/>
  <c r="E40" i="1"/>
  <c r="C20" i="1"/>
  <c r="C21" i="1"/>
  <c r="G37" i="1"/>
  <c r="F73" i="1"/>
  <c r="E16" i="1"/>
  <c r="F103" i="1"/>
  <c r="G95" i="1"/>
  <c r="G96" i="1"/>
  <c r="H93" i="1" s="1"/>
  <c r="H42" i="1"/>
  <c r="D19" i="1"/>
  <c r="E15" i="1" s="1"/>
  <c r="D17" i="1"/>
  <c r="D18" i="1" s="1"/>
  <c r="D77" i="1" l="1"/>
  <c r="D76" i="1"/>
  <c r="C22" i="1"/>
  <c r="C23" i="1" s="1"/>
  <c r="S2" i="1" s="1"/>
  <c r="S4" i="1" s="1"/>
  <c r="S5" i="1" s="1"/>
  <c r="H37" i="1"/>
  <c r="H96" i="1"/>
  <c r="I93" i="1" s="1"/>
  <c r="H95" i="1"/>
  <c r="H97" i="1" s="1"/>
  <c r="D20" i="1"/>
  <c r="D21" i="1"/>
  <c r="G103" i="1"/>
  <c r="E17" i="1"/>
  <c r="E19" i="1"/>
  <c r="F15" i="1" s="1"/>
  <c r="E46" i="1"/>
  <c r="E43" i="1"/>
  <c r="F39" i="1" s="1"/>
  <c r="F16" i="1"/>
  <c r="E72" i="1"/>
  <c r="G73" i="1"/>
  <c r="E51" i="1"/>
  <c r="E18" i="1" l="1"/>
  <c r="D22" i="1"/>
  <c r="D23" i="1" s="1"/>
  <c r="T2" i="1" s="1"/>
  <c r="T4" i="1" s="1"/>
  <c r="T5" i="1" s="1"/>
  <c r="F41" i="1"/>
  <c r="F49" i="1"/>
  <c r="F50" i="1" s="1"/>
  <c r="G16" i="1"/>
  <c r="E55" i="1"/>
  <c r="H73" i="1"/>
  <c r="H103" i="1"/>
  <c r="I96" i="1"/>
  <c r="J93" i="1" s="1"/>
  <c r="I95" i="1"/>
  <c r="F19" i="1"/>
  <c r="G15" i="1" s="1"/>
  <c r="F17" i="1"/>
  <c r="E21" i="1"/>
  <c r="E20" i="1"/>
  <c r="E71" i="1"/>
  <c r="E22" i="1" l="1"/>
  <c r="E23" i="1" s="1"/>
  <c r="U2" i="1" s="1"/>
  <c r="U4" i="1" s="1"/>
  <c r="U5" i="1" s="1"/>
  <c r="F21" i="1"/>
  <c r="F20" i="1"/>
  <c r="G19" i="1"/>
  <c r="G17" i="1"/>
  <c r="I103" i="1"/>
  <c r="E76" i="1"/>
  <c r="E77" i="1"/>
  <c r="E74" i="1"/>
  <c r="F70" i="1" s="1"/>
  <c r="J96" i="1"/>
  <c r="J95" i="1"/>
  <c r="J97" i="1" s="1"/>
  <c r="F47" i="1"/>
  <c r="F40" i="1"/>
  <c r="F18" i="1"/>
  <c r="F22" i="1" l="1"/>
  <c r="F23" i="1" s="1"/>
  <c r="V2" i="1" s="1"/>
  <c r="V4" i="1" s="1"/>
  <c r="V5" i="1" s="1"/>
  <c r="G18" i="1"/>
  <c r="F51" i="1"/>
  <c r="F52" i="1" s="1"/>
  <c r="F48" i="1"/>
  <c r="G21" i="1"/>
  <c r="G20" i="1"/>
  <c r="F72" i="1"/>
  <c r="J103" i="1"/>
  <c r="L102" i="1" s="1"/>
  <c r="L103" i="1" s="1"/>
  <c r="L5" i="1" s="1"/>
  <c r="F46" i="1"/>
  <c r="F43" i="1"/>
  <c r="G39" i="1" s="1"/>
  <c r="F55" i="1" l="1"/>
  <c r="G22" i="1"/>
  <c r="F71" i="1"/>
  <c r="F75" i="1"/>
  <c r="G41" i="1"/>
  <c r="G49" i="1"/>
  <c r="G23" i="1" l="1"/>
  <c r="F76" i="1"/>
  <c r="F77" i="1"/>
  <c r="F74" i="1"/>
  <c r="G70" i="1" s="1"/>
  <c r="G47" i="1"/>
  <c r="G40" i="1"/>
  <c r="I23" i="1" l="1"/>
  <c r="L2" i="1" s="1"/>
  <c r="W2" i="1"/>
  <c r="W4" i="1" s="1"/>
  <c r="W5" i="1" s="1"/>
  <c r="G51" i="1"/>
  <c r="G72" i="1"/>
  <c r="G46" i="1"/>
  <c r="G55" i="1" s="1"/>
  <c r="G43" i="1"/>
  <c r="H39" i="1" l="1"/>
  <c r="H40" i="1"/>
  <c r="H46" i="1" s="1"/>
  <c r="G71" i="1"/>
  <c r="G77" i="1" l="1"/>
  <c r="G76" i="1"/>
  <c r="G74" i="1"/>
  <c r="H41" i="1"/>
  <c r="H47" i="1" s="1"/>
  <c r="H43" i="1"/>
  <c r="H49" i="1"/>
  <c r="H50" i="1" s="1"/>
  <c r="H51" i="1" l="1"/>
  <c r="H52" i="1" s="1"/>
  <c r="H48" i="1"/>
  <c r="H70" i="1"/>
  <c r="H71" i="1"/>
  <c r="H55" i="1" l="1"/>
  <c r="J54" i="1" s="1"/>
  <c r="J55" i="1" s="1"/>
  <c r="L3" i="1" s="1"/>
  <c r="H74" i="1"/>
  <c r="H72" i="1"/>
  <c r="H75" i="1" s="1"/>
  <c r="H76" i="1" l="1"/>
  <c r="J76" i="1" s="1"/>
  <c r="J77" i="1" s="1"/>
  <c r="L4" i="1" s="1"/>
  <c r="H77" i="1"/>
  <c r="M76" i="1" s="1"/>
  <c r="M77" i="1" s="1"/>
  <c r="M4" i="1" s="1"/>
</calcChain>
</file>

<file path=xl/sharedStrings.xml><?xml version="1.0" encoding="utf-8"?>
<sst xmlns="http://schemas.openxmlformats.org/spreadsheetml/2006/main" count="141" uniqueCount="112">
  <si>
    <t>Investimento</t>
  </si>
  <si>
    <t>CA</t>
  </si>
  <si>
    <t>CP</t>
  </si>
  <si>
    <t>Taxa</t>
  </si>
  <si>
    <t>Opção 1</t>
  </si>
  <si>
    <t>Carência</t>
  </si>
  <si>
    <t>Opção 2</t>
  </si>
  <si>
    <t>Reembolso</t>
  </si>
  <si>
    <t>semestres</t>
  </si>
  <si>
    <t>Opção 3</t>
  </si>
  <si>
    <t>Imposto selo</t>
  </si>
  <si>
    <t>Opção 4</t>
  </si>
  <si>
    <t>IRC</t>
  </si>
  <si>
    <t>A1</t>
  </si>
  <si>
    <t>A2</t>
  </si>
  <si>
    <t>A3</t>
  </si>
  <si>
    <t>A4</t>
  </si>
  <si>
    <t>A5</t>
  </si>
  <si>
    <t>1 - Financiamento (A0)</t>
  </si>
  <si>
    <t>2 - Cap. Dívida inicial (Ak-1)</t>
  </si>
  <si>
    <t>3 - amortizações (Rk)</t>
  </si>
  <si>
    <t>4 - juros (Jk)</t>
  </si>
  <si>
    <t>5 - prestação</t>
  </si>
  <si>
    <t>6 - capital dívida fim</t>
  </si>
  <si>
    <t>7 - Efeito fiscal Juros (Jk*t)</t>
  </si>
  <si>
    <t>8 - Imposto selo (Ik)</t>
  </si>
  <si>
    <t>9 - Ef. Fiscal IS (Ik*t)</t>
  </si>
  <si>
    <t>CF (1-3-4+7-8+9)</t>
  </si>
  <si>
    <t>eur</t>
  </si>
  <si>
    <t>gbp</t>
  </si>
  <si>
    <t>EUR</t>
  </si>
  <si>
    <t>Montante</t>
  </si>
  <si>
    <t>GBP</t>
  </si>
  <si>
    <t>Juros semestrais</t>
  </si>
  <si>
    <t>Câmbio</t>
  </si>
  <si>
    <t>Reembolsos</t>
  </si>
  <si>
    <t>Comissão</t>
  </si>
  <si>
    <t>(antecipada)</t>
  </si>
  <si>
    <t>Depreciação</t>
  </si>
  <si>
    <t>semestre</t>
  </si>
  <si>
    <t>comissão</t>
  </si>
  <si>
    <t>S1</t>
  </si>
  <si>
    <t>S2</t>
  </si>
  <si>
    <t>S3</t>
  </si>
  <si>
    <t>S4</t>
  </si>
  <si>
    <t>S5</t>
  </si>
  <si>
    <t>S6</t>
  </si>
  <si>
    <t>0 - Taxa de câmbio</t>
  </si>
  <si>
    <t>6 - Cap. Dívida final (Ak)</t>
  </si>
  <si>
    <t>Valores em euros</t>
  </si>
  <si>
    <t>7 - Financiamento (A0)</t>
  </si>
  <si>
    <t>8 - amortizações (Rk)</t>
  </si>
  <si>
    <t>9 - juros (Jk)</t>
  </si>
  <si>
    <t>10 - Efeito fiscal Juros (Jk*t)</t>
  </si>
  <si>
    <t>11 - Diferenças cambiais (Dk)</t>
  </si>
  <si>
    <t>12 - Efeito fiscal diferenças cambiais (Dk*t)</t>
  </si>
  <si>
    <t>13 - Imposto selo (Ik)</t>
  </si>
  <si>
    <t>14 - Efeito fiscal IS (Ik*t)</t>
  </si>
  <si>
    <t>15 - Comissões</t>
  </si>
  <si>
    <t>16 - Efeito fiscal comissões</t>
  </si>
  <si>
    <t>CF (7-8-9+10+12-13+14-15+16)</t>
  </si>
  <si>
    <t>(SEMESTRAL)</t>
  </si>
  <si>
    <t>(ANUAL)</t>
  </si>
  <si>
    <t>Duração</t>
  </si>
  <si>
    <t>anos</t>
  </si>
  <si>
    <t>Prestações</t>
  </si>
  <si>
    <t>semestrais postecipadas</t>
  </si>
  <si>
    <t>Opção compra</t>
  </si>
  <si>
    <t>vida útil</t>
  </si>
  <si>
    <t>VR atualizado</t>
  </si>
  <si>
    <t>Termo renda</t>
  </si>
  <si>
    <t>CF (1-3-4+7)</t>
  </si>
  <si>
    <t>com VR</t>
  </si>
  <si>
    <t>Semestral</t>
  </si>
  <si>
    <t>ANUAL</t>
  </si>
  <si>
    <t>de obrigações</t>
  </si>
  <si>
    <t>Valor nominal</t>
  </si>
  <si>
    <t>Prémio de emissão</t>
  </si>
  <si>
    <t xml:space="preserve">Valor de emissão </t>
  </si>
  <si>
    <t>taxa de cupão</t>
  </si>
  <si>
    <t>juros semestrais</t>
  </si>
  <si>
    <t>prémio de reembolso</t>
  </si>
  <si>
    <t>despesas de emissão</t>
  </si>
  <si>
    <t>T1</t>
  </si>
  <si>
    <t>T2</t>
  </si>
  <si>
    <t>T3</t>
  </si>
  <si>
    <t>T4</t>
  </si>
  <si>
    <t>T5</t>
  </si>
  <si>
    <t>T6</t>
  </si>
  <si>
    <t>T7</t>
  </si>
  <si>
    <t>T8</t>
  </si>
  <si>
    <t>5 - capital dívida fim</t>
  </si>
  <si>
    <t>6 - Efeito fiscal Juros (Jk*t)</t>
  </si>
  <si>
    <t>7- Despesas de emissão (DE)</t>
  </si>
  <si>
    <t>8- Ef. Fiscal desp. emis. (DE×t)</t>
  </si>
  <si>
    <t>9-Ef. Fiscal Prém. emis. (PE×t)</t>
  </si>
  <si>
    <t>10- Prémio de Reembolso (PR)</t>
  </si>
  <si>
    <t>11-Ef. Fiscal Reembolso (PR×t)</t>
  </si>
  <si>
    <t>Cash-Flow (1-3-4+6-7+8-9-10+11)</t>
  </si>
  <si>
    <t>trimestral</t>
  </si>
  <si>
    <t>Coef. Actualização</t>
  </si>
  <si>
    <t>2 semestres carência</t>
  </si>
  <si>
    <t>Empréstimo moeda local</t>
  </si>
  <si>
    <t>Empréstimo moeda estrangeira</t>
  </si>
  <si>
    <t>R</t>
  </si>
  <si>
    <t>Prestação</t>
  </si>
  <si>
    <t>Leasing</t>
  </si>
  <si>
    <t>Taxa de juro</t>
  </si>
  <si>
    <t>Empréstimo obrigacionista</t>
  </si>
  <si>
    <t>fluxo de caixa líquido</t>
  </si>
  <si>
    <t>CFL Actualizado</t>
  </si>
  <si>
    <t>CFL Act. Acum.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</si>
</sst>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%"/>
    <numFmt numFmtId="165" formatCode="0.0000%"/>
    <numFmt numFmtId="166" formatCode="0.00000%"/>
    <numFmt numFmtId="168" formatCode="#,##0.00\ &quot;€&quot;"/>
    <numFmt numFmtId="169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Fill="1"/>
    <xf numFmtId="166" fontId="2" fillId="0" borderId="0" xfId="0" applyNumberFormat="1" applyFont="1" applyFill="1"/>
    <xf numFmtId="9" fontId="2" fillId="0" borderId="0" xfId="0" applyNumberFormat="1" applyFont="1" applyFill="1"/>
    <xf numFmtId="44" fontId="2" fillId="0" borderId="0" xfId="1" applyFont="1" applyFill="1"/>
    <xf numFmtId="0" fontId="2" fillId="0" borderId="0" xfId="0" applyFont="1" applyFill="1" applyAlignment="1">
      <alignment horizontal="justify"/>
    </xf>
    <xf numFmtId="166" fontId="2" fillId="0" borderId="0" xfId="2" applyNumberFormat="1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164" fontId="2" fillId="0" borderId="3" xfId="0" applyNumberFormat="1" applyFont="1" applyFill="1" applyBorder="1"/>
    <xf numFmtId="9" fontId="2" fillId="0" borderId="4" xfId="0" applyNumberFormat="1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/>
    <xf numFmtId="44" fontId="2" fillId="0" borderId="9" xfId="1" applyFont="1" applyFill="1" applyBorder="1"/>
    <xf numFmtId="44" fontId="2" fillId="0" borderId="10" xfId="1" applyFont="1" applyFill="1" applyBorder="1"/>
    <xf numFmtId="0" fontId="2" fillId="0" borderId="11" xfId="0" applyFont="1" applyFill="1" applyBorder="1"/>
    <xf numFmtId="44" fontId="2" fillId="0" borderId="0" xfId="1" applyFont="1" applyFill="1" applyBorder="1"/>
    <xf numFmtId="44" fontId="2" fillId="0" borderId="12" xfId="1" applyFont="1" applyFill="1" applyBorder="1"/>
    <xf numFmtId="0" fontId="2" fillId="0" borderId="13" xfId="0" applyFont="1" applyFill="1" applyBorder="1"/>
    <xf numFmtId="44" fontId="2" fillId="0" borderId="14" xfId="1" applyFont="1" applyFill="1" applyBorder="1"/>
    <xf numFmtId="44" fontId="2" fillId="0" borderId="15" xfId="1" applyFont="1" applyFill="1" applyBorder="1"/>
    <xf numFmtId="10" fontId="2" fillId="0" borderId="1" xfId="0" applyNumberFormat="1" applyFont="1" applyFill="1" applyBorder="1"/>
    <xf numFmtId="0" fontId="2" fillId="0" borderId="4" xfId="0" applyFont="1" applyFill="1" applyBorder="1" applyAlignment="1">
      <alignment horizontal="justify"/>
    </xf>
    <xf numFmtId="9" fontId="2" fillId="0" borderId="3" xfId="2" applyFont="1" applyFill="1" applyBorder="1"/>
    <xf numFmtId="9" fontId="2" fillId="0" borderId="4" xfId="2" applyFont="1" applyFill="1" applyBorder="1"/>
    <xf numFmtId="44" fontId="2" fillId="0" borderId="2" xfId="1" applyFont="1" applyFill="1" applyBorder="1"/>
    <xf numFmtId="0" fontId="3" fillId="0" borderId="2" xfId="0" applyFont="1" applyFill="1" applyBorder="1"/>
    <xf numFmtId="0" fontId="2" fillId="0" borderId="2" xfId="0" applyFont="1" applyFill="1" applyBorder="1" applyAlignment="1">
      <alignment horizontal="justify"/>
    </xf>
    <xf numFmtId="44" fontId="2" fillId="0" borderId="4" xfId="1" applyFont="1" applyFill="1" applyBorder="1"/>
    <xf numFmtId="0" fontId="3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0" xfId="0" applyFont="1" applyFill="1" applyBorder="1"/>
    <xf numFmtId="0" fontId="2" fillId="0" borderId="12" xfId="0" applyFont="1" applyFill="1" applyBorder="1"/>
    <xf numFmtId="10" fontId="2" fillId="0" borderId="0" xfId="0" applyNumberFormat="1" applyFont="1" applyFill="1" applyBorder="1"/>
    <xf numFmtId="9" fontId="2" fillId="0" borderId="0" xfId="0" applyNumberFormat="1" applyFont="1" applyFill="1" applyBorder="1"/>
    <xf numFmtId="9" fontId="2" fillId="0" borderId="12" xfId="0" applyNumberFormat="1" applyFont="1" applyFill="1" applyBorder="1"/>
    <xf numFmtId="164" fontId="2" fillId="0" borderId="0" xfId="0" applyNumberFormat="1" applyFont="1" applyFill="1" applyBorder="1"/>
    <xf numFmtId="164" fontId="2" fillId="0" borderId="14" xfId="0" applyNumberFormat="1" applyFont="1" applyFill="1" applyBorder="1"/>
    <xf numFmtId="0" fontId="2" fillId="0" borderId="14" xfId="0" applyFont="1" applyFill="1" applyBorder="1"/>
    <xf numFmtId="10" fontId="2" fillId="0" borderId="15" xfId="0" applyNumberFormat="1" applyFont="1" applyFill="1" applyBorder="1"/>
    <xf numFmtId="0" fontId="2" fillId="0" borderId="15" xfId="0" applyFont="1" applyFill="1" applyBorder="1"/>
    <xf numFmtId="166" fontId="2" fillId="0" borderId="2" xfId="0" applyNumberFormat="1" applyFont="1" applyFill="1" applyBorder="1"/>
    <xf numFmtId="166" fontId="2" fillId="0" borderId="4" xfId="2" applyNumberFormat="1" applyFont="1" applyFill="1" applyBorder="1"/>
    <xf numFmtId="44" fontId="2" fillId="0" borderId="3" xfId="1" applyFont="1" applyFill="1" applyBorder="1"/>
    <xf numFmtId="165" fontId="2" fillId="0" borderId="2" xfId="0" applyNumberFormat="1" applyFont="1" applyFill="1" applyBorder="1"/>
    <xf numFmtId="44" fontId="2" fillId="0" borderId="14" xfId="0" applyNumberFormat="1" applyFont="1" applyFill="1" applyBorder="1"/>
    <xf numFmtId="44" fontId="2" fillId="0" borderId="15" xfId="0" applyNumberFormat="1" applyFont="1" applyFill="1" applyBorder="1"/>
    <xf numFmtId="0" fontId="2" fillId="0" borderId="5" xfId="0" applyFont="1" applyFill="1" applyBorder="1"/>
    <xf numFmtId="6" fontId="2" fillId="0" borderId="0" xfId="0" applyNumberFormat="1" applyFont="1" applyFill="1" applyBorder="1"/>
    <xf numFmtId="10" fontId="2" fillId="0" borderId="14" xfId="0" applyNumberFormat="1" applyFont="1" applyFill="1" applyBorder="1"/>
    <xf numFmtId="8" fontId="2" fillId="0" borderId="14" xfId="0" applyNumberFormat="1" applyFont="1" applyFill="1" applyBorder="1"/>
    <xf numFmtId="2" fontId="2" fillId="0" borderId="0" xfId="0" applyNumberFormat="1" applyFont="1" applyFill="1" applyBorder="1"/>
    <xf numFmtId="2" fontId="2" fillId="0" borderId="12" xfId="0" applyNumberFormat="1" applyFont="1" applyFill="1" applyBorder="1"/>
    <xf numFmtId="165" fontId="2" fillId="0" borderId="9" xfId="0" applyNumberFormat="1" applyFont="1" applyFill="1" applyBorder="1"/>
    <xf numFmtId="165" fontId="2" fillId="0" borderId="0" xfId="0" applyNumberFormat="1" applyFont="1" applyFill="1" applyBorder="1"/>
    <xf numFmtId="166" fontId="2" fillId="0" borderId="12" xfId="0" applyNumberFormat="1" applyFont="1" applyFill="1" applyBorder="1"/>
    <xf numFmtId="165" fontId="2" fillId="0" borderId="14" xfId="0" applyNumberFormat="1" applyFont="1" applyFill="1" applyBorder="1"/>
    <xf numFmtId="168" fontId="2" fillId="0" borderId="0" xfId="1" applyNumberFormat="1" applyFont="1" applyBorder="1" applyAlignment="1">
      <alignment horizontal="right"/>
    </xf>
    <xf numFmtId="169" fontId="2" fillId="0" borderId="0" xfId="0" applyNumberFormat="1" applyFont="1" applyBorder="1" applyAlignment="1">
      <alignment horizontal="right"/>
    </xf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2" fillId="0" borderId="8" xfId="1" applyFont="1" applyBorder="1"/>
    <xf numFmtId="168" fontId="2" fillId="0" borderId="9" xfId="1" applyNumberFormat="1" applyFont="1" applyBorder="1" applyAlignment="1">
      <alignment horizontal="right"/>
    </xf>
    <xf numFmtId="168" fontId="2" fillId="0" borderId="10" xfId="1" applyNumberFormat="1" applyFont="1" applyBorder="1" applyAlignment="1">
      <alignment horizontal="right"/>
    </xf>
    <xf numFmtId="0" fontId="2" fillId="0" borderId="11" xfId="0" applyFont="1" applyBorder="1"/>
    <xf numFmtId="169" fontId="2" fillId="0" borderId="12" xfId="0" applyNumberFormat="1" applyFont="1" applyBorder="1" applyAlignment="1">
      <alignment horizontal="right"/>
    </xf>
    <xf numFmtId="168" fontId="2" fillId="0" borderId="12" xfId="1" applyNumberFormat="1" applyFont="1" applyBorder="1" applyAlignment="1">
      <alignment horizontal="right"/>
    </xf>
    <xf numFmtId="0" fontId="3" fillId="0" borderId="13" xfId="0" applyFont="1" applyBorder="1"/>
    <xf numFmtId="168" fontId="2" fillId="0" borderId="14" xfId="1" applyNumberFormat="1" applyFont="1" applyBorder="1" applyAlignment="1">
      <alignment horizontal="right"/>
    </xf>
    <xf numFmtId="168" fontId="2" fillId="0" borderId="15" xfId="1" applyNumberFormat="1" applyFont="1" applyBorder="1" applyAlignment="1">
      <alignment horizontal="right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abSelected="1" topLeftCell="A3" zoomScale="70" zoomScaleNormal="70" workbookViewId="0">
      <selection activeCell="L22" sqref="L22"/>
    </sheetView>
  </sheetViews>
  <sheetFormatPr defaultRowHeight="14.25" customHeight="1" x14ac:dyDescent="0.2"/>
  <cols>
    <col min="1" max="1" width="26.140625" style="1" customWidth="1"/>
    <col min="2" max="2" width="18.7109375" style="1" customWidth="1"/>
    <col min="3" max="3" width="21.5703125" style="1" customWidth="1"/>
    <col min="4" max="6" width="14.7109375" style="1" bestFit="1" customWidth="1"/>
    <col min="7" max="7" width="16.28515625" style="1" customWidth="1"/>
    <col min="8" max="10" width="12.42578125" style="1" bestFit="1" customWidth="1"/>
    <col min="11" max="11" width="12.28515625" style="1" bestFit="1" customWidth="1"/>
    <col min="12" max="16" width="9.140625" style="1"/>
    <col min="17" max="17" width="18.5703125" style="36" bestFit="1" customWidth="1"/>
    <col min="18" max="18" width="11.28515625" style="36" bestFit="1" customWidth="1"/>
    <col min="19" max="23" width="11.85546875" style="36" bestFit="1" customWidth="1"/>
    <col min="24" max="235" width="9.140625" style="1"/>
    <col min="236" max="236" width="39.5703125" style="1" bestFit="1" customWidth="1"/>
    <col min="237" max="238" width="11.5703125" style="1" bestFit="1" customWidth="1"/>
    <col min="239" max="239" width="12.5703125" style="1" bestFit="1" customWidth="1"/>
    <col min="240" max="240" width="13.140625" style="1" bestFit="1" customWidth="1"/>
    <col min="241" max="243" width="12.42578125" style="1" bestFit="1" customWidth="1"/>
    <col min="244" max="245" width="12" style="1" bestFit="1" customWidth="1"/>
    <col min="246" max="491" width="9.140625" style="1"/>
    <col min="492" max="492" width="39.5703125" style="1" bestFit="1" customWidth="1"/>
    <col min="493" max="494" width="11.5703125" style="1" bestFit="1" customWidth="1"/>
    <col min="495" max="495" width="12.5703125" style="1" bestFit="1" customWidth="1"/>
    <col min="496" max="496" width="13.140625" style="1" bestFit="1" customWidth="1"/>
    <col min="497" max="499" width="12.42578125" style="1" bestFit="1" customWidth="1"/>
    <col min="500" max="501" width="12" style="1" bestFit="1" customWidth="1"/>
    <col min="502" max="747" width="9.140625" style="1"/>
    <col min="748" max="748" width="39.5703125" style="1" bestFit="1" customWidth="1"/>
    <col min="749" max="750" width="11.5703125" style="1" bestFit="1" customWidth="1"/>
    <col min="751" max="751" width="12.5703125" style="1" bestFit="1" customWidth="1"/>
    <col min="752" max="752" width="13.140625" style="1" bestFit="1" customWidth="1"/>
    <col min="753" max="755" width="12.42578125" style="1" bestFit="1" customWidth="1"/>
    <col min="756" max="757" width="12" style="1" bestFit="1" customWidth="1"/>
    <col min="758" max="1003" width="9.140625" style="1"/>
    <col min="1004" max="1004" width="39.5703125" style="1" bestFit="1" customWidth="1"/>
    <col min="1005" max="1006" width="11.5703125" style="1" bestFit="1" customWidth="1"/>
    <col min="1007" max="1007" width="12.5703125" style="1" bestFit="1" customWidth="1"/>
    <col min="1008" max="1008" width="13.140625" style="1" bestFit="1" customWidth="1"/>
    <col min="1009" max="1011" width="12.42578125" style="1" bestFit="1" customWidth="1"/>
    <col min="1012" max="1013" width="12" style="1" bestFit="1" customWidth="1"/>
    <col min="1014" max="1259" width="9.140625" style="1"/>
    <col min="1260" max="1260" width="39.5703125" style="1" bestFit="1" customWidth="1"/>
    <col min="1261" max="1262" width="11.5703125" style="1" bestFit="1" customWidth="1"/>
    <col min="1263" max="1263" width="12.5703125" style="1" bestFit="1" customWidth="1"/>
    <col min="1264" max="1264" width="13.140625" style="1" bestFit="1" customWidth="1"/>
    <col min="1265" max="1267" width="12.42578125" style="1" bestFit="1" customWidth="1"/>
    <col min="1268" max="1269" width="12" style="1" bestFit="1" customWidth="1"/>
    <col min="1270" max="1515" width="9.140625" style="1"/>
    <col min="1516" max="1516" width="39.5703125" style="1" bestFit="1" customWidth="1"/>
    <col min="1517" max="1518" width="11.5703125" style="1" bestFit="1" customWidth="1"/>
    <col min="1519" max="1519" width="12.5703125" style="1" bestFit="1" customWidth="1"/>
    <col min="1520" max="1520" width="13.140625" style="1" bestFit="1" customWidth="1"/>
    <col min="1521" max="1523" width="12.42578125" style="1" bestFit="1" customWidth="1"/>
    <col min="1524" max="1525" width="12" style="1" bestFit="1" customWidth="1"/>
    <col min="1526" max="1771" width="9.140625" style="1"/>
    <col min="1772" max="1772" width="39.5703125" style="1" bestFit="1" customWidth="1"/>
    <col min="1773" max="1774" width="11.5703125" style="1" bestFit="1" customWidth="1"/>
    <col min="1775" max="1775" width="12.5703125" style="1" bestFit="1" customWidth="1"/>
    <col min="1776" max="1776" width="13.140625" style="1" bestFit="1" customWidth="1"/>
    <col min="1777" max="1779" width="12.42578125" style="1" bestFit="1" customWidth="1"/>
    <col min="1780" max="1781" width="12" style="1" bestFit="1" customWidth="1"/>
    <col min="1782" max="2027" width="9.140625" style="1"/>
    <col min="2028" max="2028" width="39.5703125" style="1" bestFit="1" customWidth="1"/>
    <col min="2029" max="2030" width="11.5703125" style="1" bestFit="1" customWidth="1"/>
    <col min="2031" max="2031" width="12.5703125" style="1" bestFit="1" customWidth="1"/>
    <col min="2032" max="2032" width="13.140625" style="1" bestFit="1" customWidth="1"/>
    <col min="2033" max="2035" width="12.42578125" style="1" bestFit="1" customWidth="1"/>
    <col min="2036" max="2037" width="12" style="1" bestFit="1" customWidth="1"/>
    <col min="2038" max="2283" width="9.140625" style="1"/>
    <col min="2284" max="2284" width="39.5703125" style="1" bestFit="1" customWidth="1"/>
    <col min="2285" max="2286" width="11.5703125" style="1" bestFit="1" customWidth="1"/>
    <col min="2287" max="2287" width="12.5703125" style="1" bestFit="1" customWidth="1"/>
    <col min="2288" max="2288" width="13.140625" style="1" bestFit="1" customWidth="1"/>
    <col min="2289" max="2291" width="12.42578125" style="1" bestFit="1" customWidth="1"/>
    <col min="2292" max="2293" width="12" style="1" bestFit="1" customWidth="1"/>
    <col min="2294" max="2539" width="9.140625" style="1"/>
    <col min="2540" max="2540" width="39.5703125" style="1" bestFit="1" customWidth="1"/>
    <col min="2541" max="2542" width="11.5703125" style="1" bestFit="1" customWidth="1"/>
    <col min="2543" max="2543" width="12.5703125" style="1" bestFit="1" customWidth="1"/>
    <col min="2544" max="2544" width="13.140625" style="1" bestFit="1" customWidth="1"/>
    <col min="2545" max="2547" width="12.42578125" style="1" bestFit="1" customWidth="1"/>
    <col min="2548" max="2549" width="12" style="1" bestFit="1" customWidth="1"/>
    <col min="2550" max="2795" width="9.140625" style="1"/>
    <col min="2796" max="2796" width="39.5703125" style="1" bestFit="1" customWidth="1"/>
    <col min="2797" max="2798" width="11.5703125" style="1" bestFit="1" customWidth="1"/>
    <col min="2799" max="2799" width="12.5703125" style="1" bestFit="1" customWidth="1"/>
    <col min="2800" max="2800" width="13.140625" style="1" bestFit="1" customWidth="1"/>
    <col min="2801" max="2803" width="12.42578125" style="1" bestFit="1" customWidth="1"/>
    <col min="2804" max="2805" width="12" style="1" bestFit="1" customWidth="1"/>
    <col min="2806" max="3051" width="9.140625" style="1"/>
    <col min="3052" max="3052" width="39.5703125" style="1" bestFit="1" customWidth="1"/>
    <col min="3053" max="3054" width="11.5703125" style="1" bestFit="1" customWidth="1"/>
    <col min="3055" max="3055" width="12.5703125" style="1" bestFit="1" customWidth="1"/>
    <col min="3056" max="3056" width="13.140625" style="1" bestFit="1" customWidth="1"/>
    <col min="3057" max="3059" width="12.42578125" style="1" bestFit="1" customWidth="1"/>
    <col min="3060" max="3061" width="12" style="1" bestFit="1" customWidth="1"/>
    <col min="3062" max="3307" width="9.140625" style="1"/>
    <col min="3308" max="3308" width="39.5703125" style="1" bestFit="1" customWidth="1"/>
    <col min="3309" max="3310" width="11.5703125" style="1" bestFit="1" customWidth="1"/>
    <col min="3311" max="3311" width="12.5703125" style="1" bestFit="1" customWidth="1"/>
    <col min="3312" max="3312" width="13.140625" style="1" bestFit="1" customWidth="1"/>
    <col min="3313" max="3315" width="12.42578125" style="1" bestFit="1" customWidth="1"/>
    <col min="3316" max="3317" width="12" style="1" bestFit="1" customWidth="1"/>
    <col min="3318" max="3563" width="9.140625" style="1"/>
    <col min="3564" max="3564" width="39.5703125" style="1" bestFit="1" customWidth="1"/>
    <col min="3565" max="3566" width="11.5703125" style="1" bestFit="1" customWidth="1"/>
    <col min="3567" max="3567" width="12.5703125" style="1" bestFit="1" customWidth="1"/>
    <col min="3568" max="3568" width="13.140625" style="1" bestFit="1" customWidth="1"/>
    <col min="3569" max="3571" width="12.42578125" style="1" bestFit="1" customWidth="1"/>
    <col min="3572" max="3573" width="12" style="1" bestFit="1" customWidth="1"/>
    <col min="3574" max="3819" width="9.140625" style="1"/>
    <col min="3820" max="3820" width="39.5703125" style="1" bestFit="1" customWidth="1"/>
    <col min="3821" max="3822" width="11.5703125" style="1" bestFit="1" customWidth="1"/>
    <col min="3823" max="3823" width="12.5703125" style="1" bestFit="1" customWidth="1"/>
    <col min="3824" max="3824" width="13.140625" style="1" bestFit="1" customWidth="1"/>
    <col min="3825" max="3827" width="12.42578125" style="1" bestFit="1" customWidth="1"/>
    <col min="3828" max="3829" width="12" style="1" bestFit="1" customWidth="1"/>
    <col min="3830" max="4075" width="9.140625" style="1"/>
    <col min="4076" max="4076" width="39.5703125" style="1" bestFit="1" customWidth="1"/>
    <col min="4077" max="4078" width="11.5703125" style="1" bestFit="1" customWidth="1"/>
    <col min="4079" max="4079" width="12.5703125" style="1" bestFit="1" customWidth="1"/>
    <col min="4080" max="4080" width="13.140625" style="1" bestFit="1" customWidth="1"/>
    <col min="4081" max="4083" width="12.42578125" style="1" bestFit="1" customWidth="1"/>
    <col min="4084" max="4085" width="12" style="1" bestFit="1" customWidth="1"/>
    <col min="4086" max="4331" width="9.140625" style="1"/>
    <col min="4332" max="4332" width="39.5703125" style="1" bestFit="1" customWidth="1"/>
    <col min="4333" max="4334" width="11.5703125" style="1" bestFit="1" customWidth="1"/>
    <col min="4335" max="4335" width="12.5703125" style="1" bestFit="1" customWidth="1"/>
    <col min="4336" max="4336" width="13.140625" style="1" bestFit="1" customWidth="1"/>
    <col min="4337" max="4339" width="12.42578125" style="1" bestFit="1" customWidth="1"/>
    <col min="4340" max="4341" width="12" style="1" bestFit="1" customWidth="1"/>
    <col min="4342" max="4587" width="9.140625" style="1"/>
    <col min="4588" max="4588" width="39.5703125" style="1" bestFit="1" customWidth="1"/>
    <col min="4589" max="4590" width="11.5703125" style="1" bestFit="1" customWidth="1"/>
    <col min="4591" max="4591" width="12.5703125" style="1" bestFit="1" customWidth="1"/>
    <col min="4592" max="4592" width="13.140625" style="1" bestFit="1" customWidth="1"/>
    <col min="4593" max="4595" width="12.42578125" style="1" bestFit="1" customWidth="1"/>
    <col min="4596" max="4597" width="12" style="1" bestFit="1" customWidth="1"/>
    <col min="4598" max="4843" width="9.140625" style="1"/>
    <col min="4844" max="4844" width="39.5703125" style="1" bestFit="1" customWidth="1"/>
    <col min="4845" max="4846" width="11.5703125" style="1" bestFit="1" customWidth="1"/>
    <col min="4847" max="4847" width="12.5703125" style="1" bestFit="1" customWidth="1"/>
    <col min="4848" max="4848" width="13.140625" style="1" bestFit="1" customWidth="1"/>
    <col min="4849" max="4851" width="12.42578125" style="1" bestFit="1" customWidth="1"/>
    <col min="4852" max="4853" width="12" style="1" bestFit="1" customWidth="1"/>
    <col min="4854" max="5099" width="9.140625" style="1"/>
    <col min="5100" max="5100" width="39.5703125" style="1" bestFit="1" customWidth="1"/>
    <col min="5101" max="5102" width="11.5703125" style="1" bestFit="1" customWidth="1"/>
    <col min="5103" max="5103" width="12.5703125" style="1" bestFit="1" customWidth="1"/>
    <col min="5104" max="5104" width="13.140625" style="1" bestFit="1" customWidth="1"/>
    <col min="5105" max="5107" width="12.42578125" style="1" bestFit="1" customWidth="1"/>
    <col min="5108" max="5109" width="12" style="1" bestFit="1" customWidth="1"/>
    <col min="5110" max="5355" width="9.140625" style="1"/>
    <col min="5356" max="5356" width="39.5703125" style="1" bestFit="1" customWidth="1"/>
    <col min="5357" max="5358" width="11.5703125" style="1" bestFit="1" customWidth="1"/>
    <col min="5359" max="5359" width="12.5703125" style="1" bestFit="1" customWidth="1"/>
    <col min="5360" max="5360" width="13.140625" style="1" bestFit="1" customWidth="1"/>
    <col min="5361" max="5363" width="12.42578125" style="1" bestFit="1" customWidth="1"/>
    <col min="5364" max="5365" width="12" style="1" bestFit="1" customWidth="1"/>
    <col min="5366" max="5611" width="9.140625" style="1"/>
    <col min="5612" max="5612" width="39.5703125" style="1" bestFit="1" customWidth="1"/>
    <col min="5613" max="5614" width="11.5703125" style="1" bestFit="1" customWidth="1"/>
    <col min="5615" max="5615" width="12.5703125" style="1" bestFit="1" customWidth="1"/>
    <col min="5616" max="5616" width="13.140625" style="1" bestFit="1" customWidth="1"/>
    <col min="5617" max="5619" width="12.42578125" style="1" bestFit="1" customWidth="1"/>
    <col min="5620" max="5621" width="12" style="1" bestFit="1" customWidth="1"/>
    <col min="5622" max="5867" width="9.140625" style="1"/>
    <col min="5868" max="5868" width="39.5703125" style="1" bestFit="1" customWidth="1"/>
    <col min="5869" max="5870" width="11.5703125" style="1" bestFit="1" customWidth="1"/>
    <col min="5871" max="5871" width="12.5703125" style="1" bestFit="1" customWidth="1"/>
    <col min="5872" max="5872" width="13.140625" style="1" bestFit="1" customWidth="1"/>
    <col min="5873" max="5875" width="12.42578125" style="1" bestFit="1" customWidth="1"/>
    <col min="5876" max="5877" width="12" style="1" bestFit="1" customWidth="1"/>
    <col min="5878" max="6123" width="9.140625" style="1"/>
    <col min="6124" max="6124" width="39.5703125" style="1" bestFit="1" customWidth="1"/>
    <col min="6125" max="6126" width="11.5703125" style="1" bestFit="1" customWidth="1"/>
    <col min="6127" max="6127" width="12.5703125" style="1" bestFit="1" customWidth="1"/>
    <col min="6128" max="6128" width="13.140625" style="1" bestFit="1" customWidth="1"/>
    <col min="6129" max="6131" width="12.42578125" style="1" bestFit="1" customWidth="1"/>
    <col min="6132" max="6133" width="12" style="1" bestFit="1" customWidth="1"/>
    <col min="6134" max="6379" width="9.140625" style="1"/>
    <col min="6380" max="6380" width="39.5703125" style="1" bestFit="1" customWidth="1"/>
    <col min="6381" max="6382" width="11.5703125" style="1" bestFit="1" customWidth="1"/>
    <col min="6383" max="6383" width="12.5703125" style="1" bestFit="1" customWidth="1"/>
    <col min="6384" max="6384" width="13.140625" style="1" bestFit="1" customWidth="1"/>
    <col min="6385" max="6387" width="12.42578125" style="1" bestFit="1" customWidth="1"/>
    <col min="6388" max="6389" width="12" style="1" bestFit="1" customWidth="1"/>
    <col min="6390" max="6635" width="9.140625" style="1"/>
    <col min="6636" max="6636" width="39.5703125" style="1" bestFit="1" customWidth="1"/>
    <col min="6637" max="6638" width="11.5703125" style="1" bestFit="1" customWidth="1"/>
    <col min="6639" max="6639" width="12.5703125" style="1" bestFit="1" customWidth="1"/>
    <col min="6640" max="6640" width="13.140625" style="1" bestFit="1" customWidth="1"/>
    <col min="6641" max="6643" width="12.42578125" style="1" bestFit="1" customWidth="1"/>
    <col min="6644" max="6645" width="12" style="1" bestFit="1" customWidth="1"/>
    <col min="6646" max="6891" width="9.140625" style="1"/>
    <col min="6892" max="6892" width="39.5703125" style="1" bestFit="1" customWidth="1"/>
    <col min="6893" max="6894" width="11.5703125" style="1" bestFit="1" customWidth="1"/>
    <col min="6895" max="6895" width="12.5703125" style="1" bestFit="1" customWidth="1"/>
    <col min="6896" max="6896" width="13.140625" style="1" bestFit="1" customWidth="1"/>
    <col min="6897" max="6899" width="12.42578125" style="1" bestFit="1" customWidth="1"/>
    <col min="6900" max="6901" width="12" style="1" bestFit="1" customWidth="1"/>
    <col min="6902" max="7147" width="9.140625" style="1"/>
    <col min="7148" max="7148" width="39.5703125" style="1" bestFit="1" customWidth="1"/>
    <col min="7149" max="7150" width="11.5703125" style="1" bestFit="1" customWidth="1"/>
    <col min="7151" max="7151" width="12.5703125" style="1" bestFit="1" customWidth="1"/>
    <col min="7152" max="7152" width="13.140625" style="1" bestFit="1" customWidth="1"/>
    <col min="7153" max="7155" width="12.42578125" style="1" bestFit="1" customWidth="1"/>
    <col min="7156" max="7157" width="12" style="1" bestFit="1" customWidth="1"/>
    <col min="7158" max="7403" width="9.140625" style="1"/>
    <col min="7404" max="7404" width="39.5703125" style="1" bestFit="1" customWidth="1"/>
    <col min="7405" max="7406" width="11.5703125" style="1" bestFit="1" customWidth="1"/>
    <col min="7407" max="7407" width="12.5703125" style="1" bestFit="1" customWidth="1"/>
    <col min="7408" max="7408" width="13.140625" style="1" bestFit="1" customWidth="1"/>
    <col min="7409" max="7411" width="12.42578125" style="1" bestFit="1" customWidth="1"/>
    <col min="7412" max="7413" width="12" style="1" bestFit="1" customWidth="1"/>
    <col min="7414" max="7659" width="9.140625" style="1"/>
    <col min="7660" max="7660" width="39.5703125" style="1" bestFit="1" customWidth="1"/>
    <col min="7661" max="7662" width="11.5703125" style="1" bestFit="1" customWidth="1"/>
    <col min="7663" max="7663" width="12.5703125" style="1" bestFit="1" customWidth="1"/>
    <col min="7664" max="7664" width="13.140625" style="1" bestFit="1" customWidth="1"/>
    <col min="7665" max="7667" width="12.42578125" style="1" bestFit="1" customWidth="1"/>
    <col min="7668" max="7669" width="12" style="1" bestFit="1" customWidth="1"/>
    <col min="7670" max="7915" width="9.140625" style="1"/>
    <col min="7916" max="7916" width="39.5703125" style="1" bestFit="1" customWidth="1"/>
    <col min="7917" max="7918" width="11.5703125" style="1" bestFit="1" customWidth="1"/>
    <col min="7919" max="7919" width="12.5703125" style="1" bestFit="1" customWidth="1"/>
    <col min="7920" max="7920" width="13.140625" style="1" bestFit="1" customWidth="1"/>
    <col min="7921" max="7923" width="12.42578125" style="1" bestFit="1" customWidth="1"/>
    <col min="7924" max="7925" width="12" style="1" bestFit="1" customWidth="1"/>
    <col min="7926" max="8171" width="9.140625" style="1"/>
    <col min="8172" max="8172" width="39.5703125" style="1" bestFit="1" customWidth="1"/>
    <col min="8173" max="8174" width="11.5703125" style="1" bestFit="1" customWidth="1"/>
    <col min="8175" max="8175" width="12.5703125" style="1" bestFit="1" customWidth="1"/>
    <col min="8176" max="8176" width="13.140625" style="1" bestFit="1" customWidth="1"/>
    <col min="8177" max="8179" width="12.42578125" style="1" bestFit="1" customWidth="1"/>
    <col min="8180" max="8181" width="12" style="1" bestFit="1" customWidth="1"/>
    <col min="8182" max="8427" width="9.140625" style="1"/>
    <col min="8428" max="8428" width="39.5703125" style="1" bestFit="1" customWidth="1"/>
    <col min="8429" max="8430" width="11.5703125" style="1" bestFit="1" customWidth="1"/>
    <col min="8431" max="8431" width="12.5703125" style="1" bestFit="1" customWidth="1"/>
    <col min="8432" max="8432" width="13.140625" style="1" bestFit="1" customWidth="1"/>
    <col min="8433" max="8435" width="12.42578125" style="1" bestFit="1" customWidth="1"/>
    <col min="8436" max="8437" width="12" style="1" bestFit="1" customWidth="1"/>
    <col min="8438" max="8683" width="9.140625" style="1"/>
    <col min="8684" max="8684" width="39.5703125" style="1" bestFit="1" customWidth="1"/>
    <col min="8685" max="8686" width="11.5703125" style="1" bestFit="1" customWidth="1"/>
    <col min="8687" max="8687" width="12.5703125" style="1" bestFit="1" customWidth="1"/>
    <col min="8688" max="8688" width="13.140625" style="1" bestFit="1" customWidth="1"/>
    <col min="8689" max="8691" width="12.42578125" style="1" bestFit="1" customWidth="1"/>
    <col min="8692" max="8693" width="12" style="1" bestFit="1" customWidth="1"/>
    <col min="8694" max="8939" width="9.140625" style="1"/>
    <col min="8940" max="8940" width="39.5703125" style="1" bestFit="1" customWidth="1"/>
    <col min="8941" max="8942" width="11.5703125" style="1" bestFit="1" customWidth="1"/>
    <col min="8943" max="8943" width="12.5703125" style="1" bestFit="1" customWidth="1"/>
    <col min="8944" max="8944" width="13.140625" style="1" bestFit="1" customWidth="1"/>
    <col min="8945" max="8947" width="12.42578125" style="1" bestFit="1" customWidth="1"/>
    <col min="8948" max="8949" width="12" style="1" bestFit="1" customWidth="1"/>
    <col min="8950" max="9195" width="9.140625" style="1"/>
    <col min="9196" max="9196" width="39.5703125" style="1" bestFit="1" customWidth="1"/>
    <col min="9197" max="9198" width="11.5703125" style="1" bestFit="1" customWidth="1"/>
    <col min="9199" max="9199" width="12.5703125" style="1" bestFit="1" customWidth="1"/>
    <col min="9200" max="9200" width="13.140625" style="1" bestFit="1" customWidth="1"/>
    <col min="9201" max="9203" width="12.42578125" style="1" bestFit="1" customWidth="1"/>
    <col min="9204" max="9205" width="12" style="1" bestFit="1" customWidth="1"/>
    <col min="9206" max="9451" width="9.140625" style="1"/>
    <col min="9452" max="9452" width="39.5703125" style="1" bestFit="1" customWidth="1"/>
    <col min="9453" max="9454" width="11.5703125" style="1" bestFit="1" customWidth="1"/>
    <col min="9455" max="9455" width="12.5703125" style="1" bestFit="1" customWidth="1"/>
    <col min="9456" max="9456" width="13.140625" style="1" bestFit="1" customWidth="1"/>
    <col min="9457" max="9459" width="12.42578125" style="1" bestFit="1" customWidth="1"/>
    <col min="9460" max="9461" width="12" style="1" bestFit="1" customWidth="1"/>
    <col min="9462" max="9707" width="9.140625" style="1"/>
    <col min="9708" max="9708" width="39.5703125" style="1" bestFit="1" customWidth="1"/>
    <col min="9709" max="9710" width="11.5703125" style="1" bestFit="1" customWidth="1"/>
    <col min="9711" max="9711" width="12.5703125" style="1" bestFit="1" customWidth="1"/>
    <col min="9712" max="9712" width="13.140625" style="1" bestFit="1" customWidth="1"/>
    <col min="9713" max="9715" width="12.42578125" style="1" bestFit="1" customWidth="1"/>
    <col min="9716" max="9717" width="12" style="1" bestFit="1" customWidth="1"/>
    <col min="9718" max="9963" width="9.140625" style="1"/>
    <col min="9964" max="9964" width="39.5703125" style="1" bestFit="1" customWidth="1"/>
    <col min="9965" max="9966" width="11.5703125" style="1" bestFit="1" customWidth="1"/>
    <col min="9967" max="9967" width="12.5703125" style="1" bestFit="1" customWidth="1"/>
    <col min="9968" max="9968" width="13.140625" style="1" bestFit="1" customWidth="1"/>
    <col min="9969" max="9971" width="12.42578125" style="1" bestFit="1" customWidth="1"/>
    <col min="9972" max="9973" width="12" style="1" bestFit="1" customWidth="1"/>
    <col min="9974" max="10219" width="9.140625" style="1"/>
    <col min="10220" max="10220" width="39.5703125" style="1" bestFit="1" customWidth="1"/>
    <col min="10221" max="10222" width="11.5703125" style="1" bestFit="1" customWidth="1"/>
    <col min="10223" max="10223" width="12.5703125" style="1" bestFit="1" customWidth="1"/>
    <col min="10224" max="10224" width="13.140625" style="1" bestFit="1" customWidth="1"/>
    <col min="10225" max="10227" width="12.42578125" style="1" bestFit="1" customWidth="1"/>
    <col min="10228" max="10229" width="12" style="1" bestFit="1" customWidth="1"/>
    <col min="10230" max="10475" width="9.140625" style="1"/>
    <col min="10476" max="10476" width="39.5703125" style="1" bestFit="1" customWidth="1"/>
    <col min="10477" max="10478" width="11.5703125" style="1" bestFit="1" customWidth="1"/>
    <col min="10479" max="10479" width="12.5703125" style="1" bestFit="1" customWidth="1"/>
    <col min="10480" max="10480" width="13.140625" style="1" bestFit="1" customWidth="1"/>
    <col min="10481" max="10483" width="12.42578125" style="1" bestFit="1" customWidth="1"/>
    <col min="10484" max="10485" width="12" style="1" bestFit="1" customWidth="1"/>
    <col min="10486" max="10731" width="9.140625" style="1"/>
    <col min="10732" max="10732" width="39.5703125" style="1" bestFit="1" customWidth="1"/>
    <col min="10733" max="10734" width="11.5703125" style="1" bestFit="1" customWidth="1"/>
    <col min="10735" max="10735" width="12.5703125" style="1" bestFit="1" customWidth="1"/>
    <col min="10736" max="10736" width="13.140625" style="1" bestFit="1" customWidth="1"/>
    <col min="10737" max="10739" width="12.42578125" style="1" bestFit="1" customWidth="1"/>
    <col min="10740" max="10741" width="12" style="1" bestFit="1" customWidth="1"/>
    <col min="10742" max="10987" width="9.140625" style="1"/>
    <col min="10988" max="10988" width="39.5703125" style="1" bestFit="1" customWidth="1"/>
    <col min="10989" max="10990" width="11.5703125" style="1" bestFit="1" customWidth="1"/>
    <col min="10991" max="10991" width="12.5703125" style="1" bestFit="1" customWidth="1"/>
    <col min="10992" max="10992" width="13.140625" style="1" bestFit="1" customWidth="1"/>
    <col min="10993" max="10995" width="12.42578125" style="1" bestFit="1" customWidth="1"/>
    <col min="10996" max="10997" width="12" style="1" bestFit="1" customWidth="1"/>
    <col min="10998" max="11243" width="9.140625" style="1"/>
    <col min="11244" max="11244" width="39.5703125" style="1" bestFit="1" customWidth="1"/>
    <col min="11245" max="11246" width="11.5703125" style="1" bestFit="1" customWidth="1"/>
    <col min="11247" max="11247" width="12.5703125" style="1" bestFit="1" customWidth="1"/>
    <col min="11248" max="11248" width="13.140625" style="1" bestFit="1" customWidth="1"/>
    <col min="11249" max="11251" width="12.42578125" style="1" bestFit="1" customWidth="1"/>
    <col min="11252" max="11253" width="12" style="1" bestFit="1" customWidth="1"/>
    <col min="11254" max="11499" width="9.140625" style="1"/>
    <col min="11500" max="11500" width="39.5703125" style="1" bestFit="1" customWidth="1"/>
    <col min="11501" max="11502" width="11.5703125" style="1" bestFit="1" customWidth="1"/>
    <col min="11503" max="11503" width="12.5703125" style="1" bestFit="1" customWidth="1"/>
    <col min="11504" max="11504" width="13.140625" style="1" bestFit="1" customWidth="1"/>
    <col min="11505" max="11507" width="12.42578125" style="1" bestFit="1" customWidth="1"/>
    <col min="11508" max="11509" width="12" style="1" bestFit="1" customWidth="1"/>
    <col min="11510" max="11755" width="9.140625" style="1"/>
    <col min="11756" max="11756" width="39.5703125" style="1" bestFit="1" customWidth="1"/>
    <col min="11757" max="11758" width="11.5703125" style="1" bestFit="1" customWidth="1"/>
    <col min="11759" max="11759" width="12.5703125" style="1" bestFit="1" customWidth="1"/>
    <col min="11760" max="11760" width="13.140625" style="1" bestFit="1" customWidth="1"/>
    <col min="11761" max="11763" width="12.42578125" style="1" bestFit="1" customWidth="1"/>
    <col min="11764" max="11765" width="12" style="1" bestFit="1" customWidth="1"/>
    <col min="11766" max="12011" width="9.140625" style="1"/>
    <col min="12012" max="12012" width="39.5703125" style="1" bestFit="1" customWidth="1"/>
    <col min="12013" max="12014" width="11.5703125" style="1" bestFit="1" customWidth="1"/>
    <col min="12015" max="12015" width="12.5703125" style="1" bestFit="1" customWidth="1"/>
    <col min="12016" max="12016" width="13.140625" style="1" bestFit="1" customWidth="1"/>
    <col min="12017" max="12019" width="12.42578125" style="1" bestFit="1" customWidth="1"/>
    <col min="12020" max="12021" width="12" style="1" bestFit="1" customWidth="1"/>
    <col min="12022" max="12267" width="9.140625" style="1"/>
    <col min="12268" max="12268" width="39.5703125" style="1" bestFit="1" customWidth="1"/>
    <col min="12269" max="12270" width="11.5703125" style="1" bestFit="1" customWidth="1"/>
    <col min="12271" max="12271" width="12.5703125" style="1" bestFit="1" customWidth="1"/>
    <col min="12272" max="12272" width="13.140625" style="1" bestFit="1" customWidth="1"/>
    <col min="12273" max="12275" width="12.42578125" style="1" bestFit="1" customWidth="1"/>
    <col min="12276" max="12277" width="12" style="1" bestFit="1" customWidth="1"/>
    <col min="12278" max="12523" width="9.140625" style="1"/>
    <col min="12524" max="12524" width="39.5703125" style="1" bestFit="1" customWidth="1"/>
    <col min="12525" max="12526" width="11.5703125" style="1" bestFit="1" customWidth="1"/>
    <col min="12527" max="12527" width="12.5703125" style="1" bestFit="1" customWidth="1"/>
    <col min="12528" max="12528" width="13.140625" style="1" bestFit="1" customWidth="1"/>
    <col min="12529" max="12531" width="12.42578125" style="1" bestFit="1" customWidth="1"/>
    <col min="12532" max="12533" width="12" style="1" bestFit="1" customWidth="1"/>
    <col min="12534" max="12779" width="9.140625" style="1"/>
    <col min="12780" max="12780" width="39.5703125" style="1" bestFit="1" customWidth="1"/>
    <col min="12781" max="12782" width="11.5703125" style="1" bestFit="1" customWidth="1"/>
    <col min="12783" max="12783" width="12.5703125" style="1" bestFit="1" customWidth="1"/>
    <col min="12784" max="12784" width="13.140625" style="1" bestFit="1" customWidth="1"/>
    <col min="12785" max="12787" width="12.42578125" style="1" bestFit="1" customWidth="1"/>
    <col min="12788" max="12789" width="12" style="1" bestFit="1" customWidth="1"/>
    <col min="12790" max="13035" width="9.140625" style="1"/>
    <col min="13036" max="13036" width="39.5703125" style="1" bestFit="1" customWidth="1"/>
    <col min="13037" max="13038" width="11.5703125" style="1" bestFit="1" customWidth="1"/>
    <col min="13039" max="13039" width="12.5703125" style="1" bestFit="1" customWidth="1"/>
    <col min="13040" max="13040" width="13.140625" style="1" bestFit="1" customWidth="1"/>
    <col min="13041" max="13043" width="12.42578125" style="1" bestFit="1" customWidth="1"/>
    <col min="13044" max="13045" width="12" style="1" bestFit="1" customWidth="1"/>
    <col min="13046" max="13291" width="9.140625" style="1"/>
    <col min="13292" max="13292" width="39.5703125" style="1" bestFit="1" customWidth="1"/>
    <col min="13293" max="13294" width="11.5703125" style="1" bestFit="1" customWidth="1"/>
    <col min="13295" max="13295" width="12.5703125" style="1" bestFit="1" customWidth="1"/>
    <col min="13296" max="13296" width="13.140625" style="1" bestFit="1" customWidth="1"/>
    <col min="13297" max="13299" width="12.42578125" style="1" bestFit="1" customWidth="1"/>
    <col min="13300" max="13301" width="12" style="1" bestFit="1" customWidth="1"/>
    <col min="13302" max="13547" width="9.140625" style="1"/>
    <col min="13548" max="13548" width="39.5703125" style="1" bestFit="1" customWidth="1"/>
    <col min="13549" max="13550" width="11.5703125" style="1" bestFit="1" customWidth="1"/>
    <col min="13551" max="13551" width="12.5703125" style="1" bestFit="1" customWidth="1"/>
    <col min="13552" max="13552" width="13.140625" style="1" bestFit="1" customWidth="1"/>
    <col min="13553" max="13555" width="12.42578125" style="1" bestFit="1" customWidth="1"/>
    <col min="13556" max="13557" width="12" style="1" bestFit="1" customWidth="1"/>
    <col min="13558" max="13803" width="9.140625" style="1"/>
    <col min="13804" max="13804" width="39.5703125" style="1" bestFit="1" customWidth="1"/>
    <col min="13805" max="13806" width="11.5703125" style="1" bestFit="1" customWidth="1"/>
    <col min="13807" max="13807" width="12.5703125" style="1" bestFit="1" customWidth="1"/>
    <col min="13808" max="13808" width="13.140625" style="1" bestFit="1" customWidth="1"/>
    <col min="13809" max="13811" width="12.42578125" style="1" bestFit="1" customWidth="1"/>
    <col min="13812" max="13813" width="12" style="1" bestFit="1" customWidth="1"/>
    <col min="13814" max="14059" width="9.140625" style="1"/>
    <col min="14060" max="14060" width="39.5703125" style="1" bestFit="1" customWidth="1"/>
    <col min="14061" max="14062" width="11.5703125" style="1" bestFit="1" customWidth="1"/>
    <col min="14063" max="14063" width="12.5703125" style="1" bestFit="1" customWidth="1"/>
    <col min="14064" max="14064" width="13.140625" style="1" bestFit="1" customWidth="1"/>
    <col min="14065" max="14067" width="12.42578125" style="1" bestFit="1" customWidth="1"/>
    <col min="14068" max="14069" width="12" style="1" bestFit="1" customWidth="1"/>
    <col min="14070" max="14315" width="9.140625" style="1"/>
    <col min="14316" max="14316" width="39.5703125" style="1" bestFit="1" customWidth="1"/>
    <col min="14317" max="14318" width="11.5703125" style="1" bestFit="1" customWidth="1"/>
    <col min="14319" max="14319" width="12.5703125" style="1" bestFit="1" customWidth="1"/>
    <col min="14320" max="14320" width="13.140625" style="1" bestFit="1" customWidth="1"/>
    <col min="14321" max="14323" width="12.42578125" style="1" bestFit="1" customWidth="1"/>
    <col min="14324" max="14325" width="12" style="1" bestFit="1" customWidth="1"/>
    <col min="14326" max="14571" width="9.140625" style="1"/>
    <col min="14572" max="14572" width="39.5703125" style="1" bestFit="1" customWidth="1"/>
    <col min="14573" max="14574" width="11.5703125" style="1" bestFit="1" customWidth="1"/>
    <col min="14575" max="14575" width="12.5703125" style="1" bestFit="1" customWidth="1"/>
    <col min="14576" max="14576" width="13.140625" style="1" bestFit="1" customWidth="1"/>
    <col min="14577" max="14579" width="12.42578125" style="1" bestFit="1" customWidth="1"/>
    <col min="14580" max="14581" width="12" style="1" bestFit="1" customWidth="1"/>
    <col min="14582" max="14827" width="9.140625" style="1"/>
    <col min="14828" max="14828" width="39.5703125" style="1" bestFit="1" customWidth="1"/>
    <col min="14829" max="14830" width="11.5703125" style="1" bestFit="1" customWidth="1"/>
    <col min="14831" max="14831" width="12.5703125" style="1" bestFit="1" customWidth="1"/>
    <col min="14832" max="14832" width="13.140625" style="1" bestFit="1" customWidth="1"/>
    <col min="14833" max="14835" width="12.42578125" style="1" bestFit="1" customWidth="1"/>
    <col min="14836" max="14837" width="12" style="1" bestFit="1" customWidth="1"/>
    <col min="14838" max="15083" width="9.140625" style="1"/>
    <col min="15084" max="15084" width="39.5703125" style="1" bestFit="1" customWidth="1"/>
    <col min="15085" max="15086" width="11.5703125" style="1" bestFit="1" customWidth="1"/>
    <col min="15087" max="15087" width="12.5703125" style="1" bestFit="1" customWidth="1"/>
    <col min="15088" max="15088" width="13.140625" style="1" bestFit="1" customWidth="1"/>
    <col min="15089" max="15091" width="12.42578125" style="1" bestFit="1" customWidth="1"/>
    <col min="15092" max="15093" width="12" style="1" bestFit="1" customWidth="1"/>
    <col min="15094" max="15339" width="9.140625" style="1"/>
    <col min="15340" max="15340" width="39.5703125" style="1" bestFit="1" customWidth="1"/>
    <col min="15341" max="15342" width="11.5703125" style="1" bestFit="1" customWidth="1"/>
    <col min="15343" max="15343" width="12.5703125" style="1" bestFit="1" customWidth="1"/>
    <col min="15344" max="15344" width="13.140625" style="1" bestFit="1" customWidth="1"/>
    <col min="15345" max="15347" width="12.42578125" style="1" bestFit="1" customWidth="1"/>
    <col min="15348" max="15349" width="12" style="1" bestFit="1" customWidth="1"/>
    <col min="15350" max="15595" width="9.140625" style="1"/>
    <col min="15596" max="15596" width="39.5703125" style="1" bestFit="1" customWidth="1"/>
    <col min="15597" max="15598" width="11.5703125" style="1" bestFit="1" customWidth="1"/>
    <col min="15599" max="15599" width="12.5703125" style="1" bestFit="1" customWidth="1"/>
    <col min="15600" max="15600" width="13.140625" style="1" bestFit="1" customWidth="1"/>
    <col min="15601" max="15603" width="12.42578125" style="1" bestFit="1" customWidth="1"/>
    <col min="15604" max="15605" width="12" style="1" bestFit="1" customWidth="1"/>
    <col min="15606" max="15851" width="9.140625" style="1"/>
    <col min="15852" max="15852" width="39.5703125" style="1" bestFit="1" customWidth="1"/>
    <col min="15853" max="15854" width="11.5703125" style="1" bestFit="1" customWidth="1"/>
    <col min="15855" max="15855" width="12.5703125" style="1" bestFit="1" customWidth="1"/>
    <col min="15856" max="15856" width="13.140625" style="1" bestFit="1" customWidth="1"/>
    <col min="15857" max="15859" width="12.42578125" style="1" bestFit="1" customWidth="1"/>
    <col min="15860" max="15861" width="12" style="1" bestFit="1" customWidth="1"/>
    <col min="15862" max="16107" width="9.140625" style="1"/>
    <col min="16108" max="16108" width="39.5703125" style="1" bestFit="1" customWidth="1"/>
    <col min="16109" max="16110" width="11.5703125" style="1" bestFit="1" customWidth="1"/>
    <col min="16111" max="16111" width="12.5703125" style="1" bestFit="1" customWidth="1"/>
    <col min="16112" max="16112" width="13.140625" style="1" bestFit="1" customWidth="1"/>
    <col min="16113" max="16115" width="12.42578125" style="1" bestFit="1" customWidth="1"/>
    <col min="16116" max="16117" width="12" style="1" bestFit="1" customWidth="1"/>
    <col min="16118" max="16384" width="9.140625" style="1"/>
  </cols>
  <sheetData>
    <row r="1" spans="1:23" ht="14.25" customHeight="1" x14ac:dyDescent="0.2">
      <c r="A1" s="8" t="s">
        <v>0</v>
      </c>
      <c r="B1" s="29">
        <v>600000</v>
      </c>
      <c r="Q1" s="64"/>
      <c r="R1" s="65">
        <v>0</v>
      </c>
      <c r="S1" s="65">
        <v>1</v>
      </c>
      <c r="T1" s="65">
        <v>2</v>
      </c>
      <c r="U1" s="65">
        <v>3</v>
      </c>
      <c r="V1" s="65">
        <v>4</v>
      </c>
      <c r="W1" s="66">
        <v>5</v>
      </c>
    </row>
    <row r="2" spans="1:23" ht="14.25" customHeight="1" x14ac:dyDescent="0.2">
      <c r="A2" s="9" t="s">
        <v>1</v>
      </c>
      <c r="B2" s="27">
        <v>1</v>
      </c>
      <c r="C2" s="29">
        <f>B2*B1</f>
        <v>600000</v>
      </c>
      <c r="K2" s="16" t="s">
        <v>4</v>
      </c>
      <c r="L2" s="58">
        <f>I23</f>
        <v>4.5179999999999998E-2</v>
      </c>
      <c r="M2" s="35"/>
      <c r="Q2" s="67" t="s">
        <v>109</v>
      </c>
      <c r="R2" s="68">
        <f>B23</f>
        <v>600000</v>
      </c>
      <c r="S2" s="68">
        <f>C23</f>
        <v>-147108</v>
      </c>
      <c r="T2" s="68">
        <f>D23</f>
        <v>-141686.40000000002</v>
      </c>
      <c r="U2" s="68">
        <f>E23</f>
        <v>-136264.79999999999</v>
      </c>
      <c r="V2" s="68">
        <f>F23</f>
        <v>-130843.20000000001</v>
      </c>
      <c r="W2" s="69">
        <f>G23</f>
        <v>-125421.6</v>
      </c>
    </row>
    <row r="3" spans="1:23" ht="14.25" customHeight="1" x14ac:dyDescent="0.2">
      <c r="A3" s="10" t="s">
        <v>2</v>
      </c>
      <c r="B3" s="28">
        <f>1-B2</f>
        <v>0</v>
      </c>
      <c r="C3" s="10">
        <f>B3*B1</f>
        <v>0</v>
      </c>
      <c r="K3" s="19" t="s">
        <v>6</v>
      </c>
      <c r="L3" s="59">
        <f>J55</f>
        <v>4.9904294080146183E-2</v>
      </c>
      <c r="M3" s="37"/>
      <c r="Q3" s="70" t="s">
        <v>100</v>
      </c>
      <c r="R3" s="63">
        <f>(1+$B$6)^-R1</f>
        <v>1</v>
      </c>
      <c r="S3" s="63">
        <f>(1+$B$6)^-S1</f>
        <v>0.94339622641509424</v>
      </c>
      <c r="T3" s="63">
        <f>(1+$B$6)^-T1</f>
        <v>0.88999644001423983</v>
      </c>
      <c r="U3" s="63">
        <f>(1+$B$6)^-U1</f>
        <v>0.8396192830323016</v>
      </c>
      <c r="V3" s="63">
        <f>(1+$B$6)^-V1</f>
        <v>0.79209366323802044</v>
      </c>
      <c r="W3" s="71">
        <f>(1+$B$6)^-W1</f>
        <v>0.74725817286605689</v>
      </c>
    </row>
    <row r="4" spans="1:23" ht="14.25" customHeight="1" x14ac:dyDescent="0.2">
      <c r="K4" s="19" t="s">
        <v>9</v>
      </c>
      <c r="L4" s="59">
        <f>J77</f>
        <v>4.4947365375472614E-2</v>
      </c>
      <c r="M4" s="60">
        <f>M77</f>
        <v>5.8015689924602931E-2</v>
      </c>
      <c r="Q4" s="70" t="s">
        <v>110</v>
      </c>
      <c r="R4" s="62">
        <f>ROUND(R2*R3,2)</f>
        <v>600000</v>
      </c>
      <c r="S4" s="62">
        <f t="shared" ref="S4:W4" si="0">ROUND(S2*S3,2)</f>
        <v>-138781.13</v>
      </c>
      <c r="T4" s="62">
        <f t="shared" si="0"/>
        <v>-126100.39</v>
      </c>
      <c r="U4" s="62">
        <f t="shared" si="0"/>
        <v>-114410.55</v>
      </c>
      <c r="V4" s="62">
        <f t="shared" si="0"/>
        <v>-103640.07</v>
      </c>
      <c r="W4" s="72">
        <f t="shared" si="0"/>
        <v>-93722.32</v>
      </c>
    </row>
    <row r="5" spans="1:23" ht="14.25" customHeight="1" x14ac:dyDescent="0.2">
      <c r="A5" s="30" t="s">
        <v>102</v>
      </c>
      <c r="B5" s="8"/>
      <c r="K5" s="22" t="s">
        <v>11</v>
      </c>
      <c r="L5" s="61">
        <f>L103</f>
        <v>5.5619970303977029E-2</v>
      </c>
      <c r="M5" s="45"/>
      <c r="Q5" s="73" t="s">
        <v>111</v>
      </c>
      <c r="R5" s="74">
        <f>R4</f>
        <v>600000</v>
      </c>
      <c r="S5" s="74">
        <f>R5+S4</f>
        <v>461218.87</v>
      </c>
      <c r="T5" s="74">
        <f>S5+T4</f>
        <v>335118.48</v>
      </c>
      <c r="U5" s="74">
        <f>T5+U4</f>
        <v>220707.93</v>
      </c>
      <c r="V5" s="74">
        <f>U5+V4</f>
        <v>117067.85999999999</v>
      </c>
      <c r="W5" s="75">
        <f>V5+W4</f>
        <v>23345.539999999979</v>
      </c>
    </row>
    <row r="6" spans="1:23" ht="14.25" customHeight="1" x14ac:dyDescent="0.2">
      <c r="A6" s="9" t="s">
        <v>3</v>
      </c>
      <c r="B6" s="11">
        <v>0.06</v>
      </c>
    </row>
    <row r="7" spans="1:23" ht="14.25" customHeight="1" x14ac:dyDescent="0.2">
      <c r="A7" s="9" t="s">
        <v>5</v>
      </c>
      <c r="B7" s="9"/>
    </row>
    <row r="8" spans="1:23" ht="14.25" customHeight="1" x14ac:dyDescent="0.2">
      <c r="A8" s="9" t="s">
        <v>7</v>
      </c>
      <c r="B8" s="9">
        <v>5</v>
      </c>
      <c r="C8" s="1" t="s">
        <v>8</v>
      </c>
    </row>
    <row r="9" spans="1:23" ht="14.25" customHeight="1" x14ac:dyDescent="0.2">
      <c r="A9" s="9" t="s">
        <v>10</v>
      </c>
      <c r="B9" s="11">
        <v>4.0000000000000001E-3</v>
      </c>
    </row>
    <row r="10" spans="1:23" ht="14.25" customHeight="1" x14ac:dyDescent="0.2">
      <c r="A10" s="10" t="s">
        <v>12</v>
      </c>
      <c r="B10" s="12">
        <v>0.25</v>
      </c>
    </row>
    <row r="13" spans="1:23" ht="14.25" customHeight="1" x14ac:dyDescent="0.2">
      <c r="A13" s="13"/>
      <c r="B13" s="14">
        <v>0</v>
      </c>
      <c r="C13" s="14" t="s">
        <v>13</v>
      </c>
      <c r="D13" s="14" t="s">
        <v>14</v>
      </c>
      <c r="E13" s="14" t="s">
        <v>15</v>
      </c>
      <c r="F13" s="14" t="s">
        <v>16</v>
      </c>
      <c r="G13" s="15" t="s">
        <v>17</v>
      </c>
    </row>
    <row r="14" spans="1:23" ht="14.25" customHeight="1" x14ac:dyDescent="0.2">
      <c r="A14" s="16" t="s">
        <v>18</v>
      </c>
      <c r="B14" s="17">
        <f>C2</f>
        <v>600000</v>
      </c>
      <c r="C14" s="17"/>
      <c r="D14" s="17"/>
      <c r="E14" s="17"/>
      <c r="F14" s="17"/>
      <c r="G14" s="18"/>
    </row>
    <row r="15" spans="1:23" ht="14.25" customHeight="1" x14ac:dyDescent="0.2">
      <c r="A15" s="19" t="s">
        <v>19</v>
      </c>
      <c r="B15" s="20"/>
      <c r="C15" s="20">
        <f>B14</f>
        <v>600000</v>
      </c>
      <c r="D15" s="20">
        <f>C19</f>
        <v>480000</v>
      </c>
      <c r="E15" s="20">
        <f>D19</f>
        <v>360000</v>
      </c>
      <c r="F15" s="20">
        <f>E19</f>
        <v>240000</v>
      </c>
      <c r="G15" s="21">
        <f>F19</f>
        <v>120000</v>
      </c>
    </row>
    <row r="16" spans="1:23" ht="14.25" customHeight="1" x14ac:dyDescent="0.2">
      <c r="A16" s="19" t="s">
        <v>20</v>
      </c>
      <c r="B16" s="20"/>
      <c r="C16" s="20">
        <f>B14/5</f>
        <v>120000</v>
      </c>
      <c r="D16" s="20">
        <f>C16</f>
        <v>120000</v>
      </c>
      <c r="E16" s="20">
        <f t="shared" ref="E16:G16" si="1">D16</f>
        <v>120000</v>
      </c>
      <c r="F16" s="20">
        <f t="shared" si="1"/>
        <v>120000</v>
      </c>
      <c r="G16" s="21">
        <f t="shared" si="1"/>
        <v>120000</v>
      </c>
    </row>
    <row r="17" spans="1:10" ht="14.25" customHeight="1" x14ac:dyDescent="0.2">
      <c r="A17" s="19" t="s">
        <v>21</v>
      </c>
      <c r="B17" s="20"/>
      <c r="C17" s="20">
        <f>C15*$B$6</f>
        <v>36000</v>
      </c>
      <c r="D17" s="20">
        <f>D15*$B$6</f>
        <v>28800</v>
      </c>
      <c r="E17" s="20">
        <f>E15*$B$6</f>
        <v>21600</v>
      </c>
      <c r="F17" s="20">
        <f>F15*$B$6</f>
        <v>14400</v>
      </c>
      <c r="G17" s="21">
        <f>G15*$B$6</f>
        <v>7200</v>
      </c>
    </row>
    <row r="18" spans="1:10" ht="14.25" customHeight="1" x14ac:dyDescent="0.2">
      <c r="A18" s="19" t="s">
        <v>22</v>
      </c>
      <c r="B18" s="20"/>
      <c r="C18" s="20">
        <f>C16+C17</f>
        <v>156000</v>
      </c>
      <c r="D18" s="20">
        <f t="shared" ref="D18:G18" si="2">D16+D17</f>
        <v>148800</v>
      </c>
      <c r="E18" s="20">
        <f t="shared" si="2"/>
        <v>141600</v>
      </c>
      <c r="F18" s="20">
        <f t="shared" si="2"/>
        <v>134400</v>
      </c>
      <c r="G18" s="21">
        <f t="shared" si="2"/>
        <v>127200</v>
      </c>
    </row>
    <row r="19" spans="1:10" ht="14.25" customHeight="1" x14ac:dyDescent="0.2">
      <c r="A19" s="19" t="s">
        <v>23</v>
      </c>
      <c r="B19" s="20"/>
      <c r="C19" s="20">
        <f t="shared" ref="C19:G19" si="3">C15-C16</f>
        <v>480000</v>
      </c>
      <c r="D19" s="20">
        <f t="shared" si="3"/>
        <v>360000</v>
      </c>
      <c r="E19" s="20">
        <f t="shared" si="3"/>
        <v>240000</v>
      </c>
      <c r="F19" s="20">
        <f t="shared" si="3"/>
        <v>120000</v>
      </c>
      <c r="G19" s="21">
        <f t="shared" si="3"/>
        <v>0</v>
      </c>
    </row>
    <row r="20" spans="1:10" ht="14.25" customHeight="1" x14ac:dyDescent="0.2">
      <c r="A20" s="19" t="s">
        <v>24</v>
      </c>
      <c r="B20" s="20"/>
      <c r="C20" s="20">
        <f>C17*$B$10</f>
        <v>9000</v>
      </c>
      <c r="D20" s="20">
        <f>D17*$B$10</f>
        <v>7200</v>
      </c>
      <c r="E20" s="20">
        <f>E17*$B$10</f>
        <v>5400</v>
      </c>
      <c r="F20" s="20">
        <f>F17*$B$10</f>
        <v>3600</v>
      </c>
      <c r="G20" s="21">
        <f>G17*$B$10</f>
        <v>1800</v>
      </c>
    </row>
    <row r="21" spans="1:10" ht="14.25" customHeight="1" x14ac:dyDescent="0.2">
      <c r="A21" s="19" t="s">
        <v>25</v>
      </c>
      <c r="B21" s="20"/>
      <c r="C21" s="20">
        <f>C17*$B$9</f>
        <v>144</v>
      </c>
      <c r="D21" s="20">
        <f>D17*$B$9</f>
        <v>115.2</v>
      </c>
      <c r="E21" s="20">
        <f>E17*$B$9</f>
        <v>86.4</v>
      </c>
      <c r="F21" s="20">
        <f>F17*$B$9</f>
        <v>57.6</v>
      </c>
      <c r="G21" s="21">
        <f>G17*$B$9</f>
        <v>28.8</v>
      </c>
    </row>
    <row r="22" spans="1:10" ht="14.25" customHeight="1" x14ac:dyDescent="0.2">
      <c r="A22" s="19" t="s">
        <v>26</v>
      </c>
      <c r="B22" s="20"/>
      <c r="C22" s="20">
        <f>C21*$B$10</f>
        <v>36</v>
      </c>
      <c r="D22" s="20">
        <f>D21*$B$10</f>
        <v>28.8</v>
      </c>
      <c r="E22" s="20">
        <f>E21*$B$10</f>
        <v>21.6</v>
      </c>
      <c r="F22" s="20">
        <f>F21*$B$10</f>
        <v>14.4</v>
      </c>
      <c r="G22" s="21">
        <f>G21*$B$10</f>
        <v>7.2</v>
      </c>
    </row>
    <row r="23" spans="1:10" ht="14.25" customHeight="1" x14ac:dyDescent="0.2">
      <c r="A23" s="22" t="s">
        <v>27</v>
      </c>
      <c r="B23" s="23">
        <f>B14-B16-B17+B20-B21+B22</f>
        <v>600000</v>
      </c>
      <c r="C23" s="23">
        <f t="shared" ref="C23:G23" si="4">C14-C16-C17+C20-C21+C22</f>
        <v>-147108</v>
      </c>
      <c r="D23" s="23">
        <f t="shared" si="4"/>
        <v>-141686.40000000002</v>
      </c>
      <c r="E23" s="23">
        <f t="shared" si="4"/>
        <v>-136264.79999999999</v>
      </c>
      <c r="F23" s="23">
        <f t="shared" si="4"/>
        <v>-130843.20000000001</v>
      </c>
      <c r="G23" s="24">
        <f t="shared" si="4"/>
        <v>-125421.6</v>
      </c>
      <c r="I23" s="25">
        <f>IRR(B23:G23)</f>
        <v>4.5179999999999998E-2</v>
      </c>
    </row>
    <row r="26" spans="1:10" ht="14.25" customHeight="1" x14ac:dyDescent="0.2">
      <c r="A26" s="33" t="s">
        <v>103</v>
      </c>
      <c r="B26" s="34"/>
      <c r="C26" s="34"/>
      <c r="D26" s="35"/>
      <c r="G26" s="8" t="s">
        <v>28</v>
      </c>
      <c r="H26" s="8" t="s">
        <v>29</v>
      </c>
      <c r="J26" s="8" t="s">
        <v>30</v>
      </c>
    </row>
    <row r="27" spans="1:10" ht="14.25" customHeight="1" x14ac:dyDescent="0.2">
      <c r="A27" s="19" t="s">
        <v>31</v>
      </c>
      <c r="B27" s="20">
        <f>G28*H27</f>
        <v>480000</v>
      </c>
      <c r="C27" s="36" t="s">
        <v>32</v>
      </c>
      <c r="D27" s="37"/>
      <c r="G27" s="10">
        <v>1</v>
      </c>
      <c r="H27" s="26">
        <v>0.8</v>
      </c>
      <c r="J27" s="10">
        <f>1/H27</f>
        <v>1.25</v>
      </c>
    </row>
    <row r="28" spans="1:10" ht="14.25" customHeight="1" x14ac:dyDescent="0.2">
      <c r="A28" s="19" t="s">
        <v>3</v>
      </c>
      <c r="B28" s="38">
        <v>4.4999999999999998E-2</v>
      </c>
      <c r="C28" s="36"/>
      <c r="D28" s="37"/>
      <c r="G28" s="4">
        <v>600000</v>
      </c>
      <c r="H28" s="5"/>
    </row>
    <row r="29" spans="1:10" ht="14.25" customHeight="1" x14ac:dyDescent="0.2">
      <c r="A29" s="19" t="s">
        <v>33</v>
      </c>
      <c r="B29" s="36"/>
      <c r="C29" s="36"/>
      <c r="D29" s="37"/>
      <c r="H29" s="5"/>
    </row>
    <row r="30" spans="1:10" ht="14.25" customHeight="1" x14ac:dyDescent="0.2">
      <c r="A30" s="19" t="s">
        <v>34</v>
      </c>
      <c r="B30" s="36">
        <v>1.25</v>
      </c>
      <c r="C30" s="36"/>
      <c r="D30" s="37"/>
      <c r="G30" s="8" t="s">
        <v>104</v>
      </c>
      <c r="H30" s="31" t="s">
        <v>105</v>
      </c>
    </row>
    <row r="31" spans="1:10" ht="14.25" customHeight="1" x14ac:dyDescent="0.2">
      <c r="A31" s="19" t="s">
        <v>35</v>
      </c>
      <c r="B31" s="39" t="s">
        <v>101</v>
      </c>
      <c r="C31" s="39"/>
      <c r="D31" s="40"/>
      <c r="G31" s="26">
        <f>(1-(1+B28/2)^-4)/(B28/2)</f>
        <v>3.7847402110280814</v>
      </c>
      <c r="H31" s="32">
        <f>ROUND(B38/G31,2)</f>
        <v>126825.09</v>
      </c>
    </row>
    <row r="32" spans="1:10" ht="14.25" customHeight="1" x14ac:dyDescent="0.2">
      <c r="A32" s="19" t="s">
        <v>36</v>
      </c>
      <c r="B32" s="38">
        <v>0.02</v>
      </c>
      <c r="C32" s="36" t="s">
        <v>37</v>
      </c>
      <c r="D32" s="37"/>
      <c r="F32" s="5"/>
    </row>
    <row r="33" spans="1:8" ht="14.25" customHeight="1" x14ac:dyDescent="0.2">
      <c r="A33" s="19" t="s">
        <v>38</v>
      </c>
      <c r="B33" s="41">
        <v>5.0000000000000001E-3</v>
      </c>
      <c r="C33" s="39" t="s">
        <v>39</v>
      </c>
      <c r="D33" s="37"/>
      <c r="F33" s="5"/>
    </row>
    <row r="34" spans="1:8" ht="14.25" customHeight="1" x14ac:dyDescent="0.2">
      <c r="A34" s="22" t="s">
        <v>10</v>
      </c>
      <c r="B34" s="42">
        <v>0.04</v>
      </c>
      <c r="C34" s="43" t="s">
        <v>40</v>
      </c>
      <c r="D34" s="44">
        <v>4.0000000000000001E-3</v>
      </c>
      <c r="F34" s="5"/>
    </row>
    <row r="36" spans="1:8" ht="14.25" customHeight="1" x14ac:dyDescent="0.2">
      <c r="A36" s="13"/>
      <c r="B36" s="14">
        <v>0</v>
      </c>
      <c r="C36" s="14" t="s">
        <v>41</v>
      </c>
      <c r="D36" s="14" t="s">
        <v>42</v>
      </c>
      <c r="E36" s="14" t="s">
        <v>43</v>
      </c>
      <c r="F36" s="14" t="s">
        <v>44</v>
      </c>
      <c r="G36" s="14" t="s">
        <v>45</v>
      </c>
      <c r="H36" s="15" t="s">
        <v>46</v>
      </c>
    </row>
    <row r="37" spans="1:8" ht="14.25" customHeight="1" x14ac:dyDescent="0.2">
      <c r="A37" s="19" t="s">
        <v>47</v>
      </c>
      <c r="B37" s="36">
        <f>B30</f>
        <v>1.25</v>
      </c>
      <c r="C37" s="36">
        <f>ROUND(B37*(1+$B$33),4)</f>
        <v>1.2563</v>
      </c>
      <c r="D37" s="36">
        <f>ROUND(C37*(1+$B$33),4)</f>
        <v>1.2625999999999999</v>
      </c>
      <c r="E37" s="36">
        <f>ROUND(D37*(1+$B$33),4)</f>
        <v>1.2688999999999999</v>
      </c>
      <c r="F37" s="36">
        <f>ROUND(E37*(1+$B$33),4)</f>
        <v>1.2751999999999999</v>
      </c>
      <c r="G37" s="36">
        <f>ROUND(F37*(1+$B$33),4)</f>
        <v>1.2816000000000001</v>
      </c>
      <c r="H37" s="37">
        <f>ROUND(G37*(1+$B$33),4)</f>
        <v>1.288</v>
      </c>
    </row>
    <row r="38" spans="1:8" ht="14.25" customHeight="1" x14ac:dyDescent="0.2">
      <c r="A38" s="19" t="s">
        <v>18</v>
      </c>
      <c r="B38" s="20">
        <f>B27</f>
        <v>480000</v>
      </c>
      <c r="C38" s="20"/>
      <c r="D38" s="20"/>
      <c r="E38" s="20"/>
      <c r="F38" s="20"/>
      <c r="G38" s="20"/>
      <c r="H38" s="21"/>
    </row>
    <row r="39" spans="1:8" ht="14.25" customHeight="1" x14ac:dyDescent="0.2">
      <c r="A39" s="19" t="s">
        <v>19</v>
      </c>
      <c r="B39" s="20"/>
      <c r="C39" s="20">
        <f>B38</f>
        <v>480000</v>
      </c>
      <c r="D39" s="20">
        <f>C43</f>
        <v>480000</v>
      </c>
      <c r="E39" s="20">
        <f>D43</f>
        <v>480000</v>
      </c>
      <c r="F39" s="20">
        <f>E43</f>
        <v>363974.91000000003</v>
      </c>
      <c r="G39" s="20">
        <f>F43</f>
        <v>245339.26000000004</v>
      </c>
      <c r="H39" s="21">
        <f>G43</f>
        <v>124034.30000000005</v>
      </c>
    </row>
    <row r="40" spans="1:8" ht="14.25" customHeight="1" x14ac:dyDescent="0.2">
      <c r="A40" s="19" t="s">
        <v>20</v>
      </c>
      <c r="B40" s="20"/>
      <c r="C40" s="20">
        <v>0</v>
      </c>
      <c r="D40" s="20">
        <f>$B$38*C31</f>
        <v>0</v>
      </c>
      <c r="E40" s="20">
        <f>E42-E41</f>
        <v>116025.09</v>
      </c>
      <c r="F40" s="20">
        <f>F42-F41</f>
        <v>118635.65</v>
      </c>
      <c r="G40" s="20">
        <f>G42-G41</f>
        <v>121304.95999999999</v>
      </c>
      <c r="H40" s="21">
        <f>G43</f>
        <v>124034.30000000005</v>
      </c>
    </row>
    <row r="41" spans="1:8" ht="14.25" customHeight="1" x14ac:dyDescent="0.2">
      <c r="A41" s="19" t="s">
        <v>21</v>
      </c>
      <c r="B41" s="20"/>
      <c r="C41" s="20">
        <f>ROUND(C39*$B$28/2,2)</f>
        <v>10800</v>
      </c>
      <c r="D41" s="20">
        <f>ROUND(D39*$B$28/2,2)</f>
        <v>10800</v>
      </c>
      <c r="E41" s="20">
        <f>ROUND(E39*$B$28/2,2)</f>
        <v>10800</v>
      </c>
      <c r="F41" s="20">
        <f>ROUND(F39*$B$28/2,2)</f>
        <v>8189.44</v>
      </c>
      <c r="G41" s="20">
        <f>ROUND(G39*$B$28/2,2)</f>
        <v>5520.13</v>
      </c>
      <c r="H41" s="21">
        <f>ROUND(H39*$B$28/2,2)</f>
        <v>2790.77</v>
      </c>
    </row>
    <row r="42" spans="1:8" ht="14.25" customHeight="1" x14ac:dyDescent="0.2">
      <c r="A42" s="19" t="s">
        <v>22</v>
      </c>
      <c r="B42" s="20"/>
      <c r="C42" s="20"/>
      <c r="D42" s="20"/>
      <c r="E42" s="20">
        <f>H31</f>
        <v>126825.09</v>
      </c>
      <c r="F42" s="20">
        <f>E42</f>
        <v>126825.09</v>
      </c>
      <c r="G42" s="20">
        <f>F42</f>
        <v>126825.09</v>
      </c>
      <c r="H42" s="21">
        <f>G42</f>
        <v>126825.09</v>
      </c>
    </row>
    <row r="43" spans="1:8" ht="14.25" customHeight="1" x14ac:dyDescent="0.2">
      <c r="A43" s="19" t="s">
        <v>48</v>
      </c>
      <c r="B43" s="20"/>
      <c r="C43" s="20">
        <f t="shared" ref="C43:H43" si="5">C39-C40</f>
        <v>480000</v>
      </c>
      <c r="D43" s="20">
        <f t="shared" si="5"/>
        <v>480000</v>
      </c>
      <c r="E43" s="20">
        <f t="shared" si="5"/>
        <v>363974.91000000003</v>
      </c>
      <c r="F43" s="20">
        <f t="shared" si="5"/>
        <v>245339.26000000004</v>
      </c>
      <c r="G43" s="20">
        <f t="shared" si="5"/>
        <v>124034.30000000005</v>
      </c>
      <c r="H43" s="21">
        <f t="shared" si="5"/>
        <v>0</v>
      </c>
    </row>
    <row r="44" spans="1:8" ht="14.25" customHeight="1" x14ac:dyDescent="0.2">
      <c r="A44" s="19" t="s">
        <v>49</v>
      </c>
      <c r="B44" s="36"/>
      <c r="C44" s="36"/>
      <c r="D44" s="36"/>
      <c r="E44" s="36"/>
      <c r="F44" s="36"/>
      <c r="G44" s="36"/>
      <c r="H44" s="37"/>
    </row>
    <row r="45" spans="1:8" ht="14.25" customHeight="1" x14ac:dyDescent="0.2">
      <c r="A45" s="19" t="s">
        <v>50</v>
      </c>
      <c r="B45" s="20">
        <f>B38*B37</f>
        <v>600000</v>
      </c>
      <c r="C45" s="20"/>
      <c r="D45" s="20"/>
      <c r="E45" s="20"/>
      <c r="F45" s="20"/>
      <c r="G45" s="20"/>
      <c r="H45" s="21"/>
    </row>
    <row r="46" spans="1:8" ht="14.25" customHeight="1" x14ac:dyDescent="0.2">
      <c r="A46" s="19" t="s">
        <v>51</v>
      </c>
      <c r="B46" s="20"/>
      <c r="C46" s="20">
        <f t="shared" ref="C46:H46" si="6">ROUND(C40*C37,2)</f>
        <v>0</v>
      </c>
      <c r="D46" s="20">
        <f t="shared" si="6"/>
        <v>0</v>
      </c>
      <c r="E46" s="20">
        <f t="shared" si="6"/>
        <v>147224.24</v>
      </c>
      <c r="F46" s="20">
        <f t="shared" si="6"/>
        <v>151284.18</v>
      </c>
      <c r="G46" s="20">
        <f t="shared" si="6"/>
        <v>155464.44</v>
      </c>
      <c r="H46" s="21">
        <f t="shared" si="6"/>
        <v>159756.18</v>
      </c>
    </row>
    <row r="47" spans="1:8" ht="14.25" customHeight="1" x14ac:dyDescent="0.2">
      <c r="A47" s="19" t="s">
        <v>52</v>
      </c>
      <c r="B47" s="20"/>
      <c r="C47" s="20">
        <f t="shared" ref="C47:H47" si="7">ROUND(C41*C37,2)</f>
        <v>13568.04</v>
      </c>
      <c r="D47" s="20">
        <f t="shared" si="7"/>
        <v>13636.08</v>
      </c>
      <c r="E47" s="20">
        <f t="shared" si="7"/>
        <v>13704.12</v>
      </c>
      <c r="F47" s="20">
        <f t="shared" si="7"/>
        <v>10443.17</v>
      </c>
      <c r="G47" s="20">
        <f t="shared" si="7"/>
        <v>7074.6</v>
      </c>
      <c r="H47" s="21">
        <f t="shared" si="7"/>
        <v>3594.51</v>
      </c>
    </row>
    <row r="48" spans="1:8" ht="14.25" customHeight="1" x14ac:dyDescent="0.2">
      <c r="A48" s="19" t="s">
        <v>53</v>
      </c>
      <c r="B48" s="20"/>
      <c r="C48" s="20"/>
      <c r="D48" s="20">
        <f>ROUND((C47+D47)*$B$10,2)</f>
        <v>6801.03</v>
      </c>
      <c r="E48" s="20"/>
      <c r="F48" s="20">
        <f>ROUND((E47+F47)*$B$10,2)</f>
        <v>6036.82</v>
      </c>
      <c r="G48" s="20"/>
      <c r="H48" s="21">
        <f>ROUND((G47+H47)*$B$10,2)</f>
        <v>2667.28</v>
      </c>
    </row>
    <row r="49" spans="1:11" ht="14.25" customHeight="1" x14ac:dyDescent="0.2">
      <c r="A49" s="19" t="s">
        <v>54</v>
      </c>
      <c r="B49" s="20"/>
      <c r="C49" s="20">
        <f t="shared" ref="C49:H49" si="8">ROUND((C37-B37)*C39,2)</f>
        <v>3024</v>
      </c>
      <c r="D49" s="20">
        <f t="shared" si="8"/>
        <v>3024</v>
      </c>
      <c r="E49" s="20">
        <f t="shared" si="8"/>
        <v>3024</v>
      </c>
      <c r="F49" s="20">
        <f t="shared" si="8"/>
        <v>2293.04</v>
      </c>
      <c r="G49" s="20">
        <f t="shared" si="8"/>
        <v>1570.17</v>
      </c>
      <c r="H49" s="21">
        <f t="shared" si="8"/>
        <v>793.82</v>
      </c>
    </row>
    <row r="50" spans="1:11" ht="14.25" customHeight="1" x14ac:dyDescent="0.2">
      <c r="A50" s="19" t="s">
        <v>55</v>
      </c>
      <c r="B50" s="20"/>
      <c r="C50" s="20"/>
      <c r="D50" s="20">
        <f>ROUND((C49+D49)*$B$10,2)</f>
        <v>1512</v>
      </c>
      <c r="E50" s="20"/>
      <c r="F50" s="20">
        <f>ROUND((E49+F49)*$B$10,2)</f>
        <v>1329.26</v>
      </c>
      <c r="G50" s="20"/>
      <c r="H50" s="21">
        <f>ROUND((G49+H49)*$B$10,2)</f>
        <v>591</v>
      </c>
    </row>
    <row r="51" spans="1:11" ht="14.25" customHeight="1" x14ac:dyDescent="0.2">
      <c r="A51" s="19" t="s">
        <v>56</v>
      </c>
      <c r="B51" s="20">
        <f>B34*B53</f>
        <v>480</v>
      </c>
      <c r="C51" s="20">
        <f>ROUND(C47*$D$34,2)</f>
        <v>54.27</v>
      </c>
      <c r="D51" s="20">
        <f>ROUND(D47*$D$34,2)</f>
        <v>54.54</v>
      </c>
      <c r="E51" s="20">
        <f>ROUND(E47*$D$34,2)</f>
        <v>54.82</v>
      </c>
      <c r="F51" s="20">
        <f>ROUND(F47*$D$34,2)</f>
        <v>41.77</v>
      </c>
      <c r="G51" s="20">
        <f>ROUND(G47*$D$34,2)</f>
        <v>28.3</v>
      </c>
      <c r="H51" s="21">
        <f>ROUND(H47*$D$34,2)</f>
        <v>14.38</v>
      </c>
    </row>
    <row r="52" spans="1:11" ht="14.25" customHeight="1" x14ac:dyDescent="0.2">
      <c r="A52" s="19" t="s">
        <v>57</v>
      </c>
      <c r="B52" s="20"/>
      <c r="C52" s="20"/>
      <c r="D52" s="20">
        <f>ROUND((C51+D51)*$B$10+($B$51/3*$B$10),2)</f>
        <v>67.2</v>
      </c>
      <c r="E52" s="20"/>
      <c r="F52" s="20">
        <f>ROUND((E51+F51)*$B$10+($B$51/3*$B$10),2)</f>
        <v>64.150000000000006</v>
      </c>
      <c r="G52" s="20"/>
      <c r="H52" s="21">
        <f>ROUND((G51+H51)*$B$10+($B$51/3*$B$10),2)</f>
        <v>50.67</v>
      </c>
    </row>
    <row r="53" spans="1:11" ht="14.25" customHeight="1" x14ac:dyDescent="0.2">
      <c r="A53" s="19" t="s">
        <v>58</v>
      </c>
      <c r="B53" s="20">
        <f>B45*B32</f>
        <v>12000</v>
      </c>
      <c r="C53" s="20"/>
      <c r="D53" s="20"/>
      <c r="E53" s="20"/>
      <c r="F53" s="20"/>
      <c r="G53" s="20"/>
      <c r="H53" s="21"/>
    </row>
    <row r="54" spans="1:11" ht="14.25" customHeight="1" x14ac:dyDescent="0.2">
      <c r="A54" s="19" t="s">
        <v>59</v>
      </c>
      <c r="B54" s="20"/>
      <c r="C54" s="20"/>
      <c r="D54" s="20">
        <f>(B53/3)*B10</f>
        <v>1000</v>
      </c>
      <c r="E54" s="20"/>
      <c r="F54" s="20">
        <f>D54</f>
        <v>1000</v>
      </c>
      <c r="G54" s="20"/>
      <c r="H54" s="21">
        <f>F54</f>
        <v>1000</v>
      </c>
      <c r="J54" s="46">
        <f>IRR(B55:H55)</f>
        <v>2.4648375824675828E-2</v>
      </c>
      <c r="K54" s="35" t="s">
        <v>61</v>
      </c>
    </row>
    <row r="55" spans="1:11" ht="14.25" customHeight="1" x14ac:dyDescent="0.2">
      <c r="A55" s="22" t="s">
        <v>60</v>
      </c>
      <c r="B55" s="23">
        <f t="shared" ref="B55:H55" si="9">B45-B46-B47+B48+B50-B51+B52-B53+B54</f>
        <v>587520</v>
      </c>
      <c r="C55" s="23">
        <f t="shared" si="9"/>
        <v>-13622.310000000001</v>
      </c>
      <c r="D55" s="23">
        <f t="shared" si="9"/>
        <v>-4310.3900000000003</v>
      </c>
      <c r="E55" s="23">
        <f t="shared" si="9"/>
        <v>-160983.18</v>
      </c>
      <c r="F55" s="23">
        <f t="shared" si="9"/>
        <v>-153338.88999999998</v>
      </c>
      <c r="G55" s="23">
        <f t="shared" si="9"/>
        <v>-162567.34</v>
      </c>
      <c r="H55" s="24">
        <f t="shared" si="9"/>
        <v>-159056.12</v>
      </c>
      <c r="J55" s="47">
        <f>(1+J54)^2-1</f>
        <v>4.9904294080146183E-2</v>
      </c>
      <c r="K55" s="45" t="s">
        <v>62</v>
      </c>
    </row>
    <row r="59" spans="1:11" ht="14.25" customHeight="1" x14ac:dyDescent="0.2">
      <c r="A59" s="33" t="s">
        <v>106</v>
      </c>
      <c r="B59" s="8"/>
      <c r="C59" s="35"/>
    </row>
    <row r="60" spans="1:11" ht="14.25" customHeight="1" x14ac:dyDescent="0.2">
      <c r="A60" s="19" t="s">
        <v>63</v>
      </c>
      <c r="B60" s="9">
        <v>3</v>
      </c>
      <c r="C60" s="37" t="s">
        <v>64</v>
      </c>
    </row>
    <row r="61" spans="1:11" ht="14.25" customHeight="1" x14ac:dyDescent="0.2">
      <c r="A61" s="19" t="s">
        <v>65</v>
      </c>
      <c r="B61" s="48">
        <f>ROUND((B69-B64)/B65,2)</f>
        <v>111251.63</v>
      </c>
      <c r="C61" s="37" t="s">
        <v>66</v>
      </c>
    </row>
    <row r="62" spans="1:11" ht="14.25" customHeight="1" x14ac:dyDescent="0.2">
      <c r="A62" s="19" t="s">
        <v>67</v>
      </c>
      <c r="B62" s="11">
        <v>2.5000000000000001E-2</v>
      </c>
      <c r="C62" s="21">
        <f>600000*B62</f>
        <v>15000</v>
      </c>
    </row>
    <row r="63" spans="1:11" ht="14.25" customHeight="1" x14ac:dyDescent="0.2">
      <c r="A63" s="19" t="s">
        <v>68</v>
      </c>
      <c r="B63" s="9">
        <v>3</v>
      </c>
      <c r="C63" s="37" t="s">
        <v>64</v>
      </c>
    </row>
    <row r="64" spans="1:11" ht="14.25" customHeight="1" x14ac:dyDescent="0.2">
      <c r="A64" s="19" t="s">
        <v>69</v>
      </c>
      <c r="B64" s="48">
        <f>ROUND(C62/(1+B66/2)^6,2)</f>
        <v>12027.15</v>
      </c>
      <c r="C64" s="37"/>
    </row>
    <row r="65" spans="1:14" ht="14.25" customHeight="1" x14ac:dyDescent="0.2">
      <c r="A65" s="22" t="s">
        <v>70</v>
      </c>
      <c r="B65" s="10">
        <f>(1-(1+B66/2)^-6)/(B66/2)</f>
        <v>5.2850716234113229</v>
      </c>
      <c r="C65" s="45"/>
    </row>
    <row r="66" spans="1:14" ht="14.25" customHeight="1" x14ac:dyDescent="0.2">
      <c r="A66" s="7" t="s">
        <v>107</v>
      </c>
      <c r="B66" s="25">
        <v>7.4999999999999997E-2</v>
      </c>
    </row>
    <row r="68" spans="1:14" ht="14.25" customHeight="1" x14ac:dyDescent="0.2">
      <c r="A68" s="52"/>
      <c r="B68" s="14">
        <v>0</v>
      </c>
      <c r="C68" s="14" t="s">
        <v>41</v>
      </c>
      <c r="D68" s="14" t="s">
        <v>42</v>
      </c>
      <c r="E68" s="14" t="s">
        <v>43</v>
      </c>
      <c r="F68" s="14" t="s">
        <v>44</v>
      </c>
      <c r="G68" s="14" t="s">
        <v>45</v>
      </c>
      <c r="H68" s="15" t="s">
        <v>46</v>
      </c>
    </row>
    <row r="69" spans="1:14" ht="14.25" customHeight="1" x14ac:dyDescent="0.2">
      <c r="A69" s="19" t="s">
        <v>18</v>
      </c>
      <c r="B69" s="20">
        <f>C2</f>
        <v>600000</v>
      </c>
      <c r="C69" s="20"/>
      <c r="D69" s="20"/>
      <c r="E69" s="20"/>
      <c r="F69" s="20"/>
      <c r="G69" s="20"/>
      <c r="H69" s="21"/>
    </row>
    <row r="70" spans="1:14" ht="14.25" customHeight="1" x14ac:dyDescent="0.2">
      <c r="A70" s="19" t="s">
        <v>19</v>
      </c>
      <c r="B70" s="20">
        <f>B69-B64</f>
        <v>587972.85</v>
      </c>
      <c r="C70" s="20">
        <f>B74</f>
        <v>587972.85</v>
      </c>
      <c r="D70" s="20">
        <f t="shared" ref="D70:H70" si="10">C74</f>
        <v>498770.19999999995</v>
      </c>
      <c r="E70" s="20">
        <f t="shared" si="10"/>
        <v>406222.44999999995</v>
      </c>
      <c r="F70" s="20">
        <f t="shared" si="10"/>
        <v>310204.15999999992</v>
      </c>
      <c r="G70" s="20">
        <f t="shared" si="10"/>
        <v>210585.18999999992</v>
      </c>
      <c r="H70" s="21">
        <f t="shared" si="10"/>
        <v>107230.49999999991</v>
      </c>
    </row>
    <row r="71" spans="1:14" ht="14.25" customHeight="1" x14ac:dyDescent="0.2">
      <c r="A71" s="19" t="s">
        <v>20</v>
      </c>
      <c r="B71" s="20"/>
      <c r="C71" s="20">
        <f>C73-C72</f>
        <v>89202.650000000009</v>
      </c>
      <c r="D71" s="20">
        <f t="shared" ref="D71:G71" si="11">D73-D72</f>
        <v>92547.75</v>
      </c>
      <c r="E71" s="20">
        <f t="shared" si="11"/>
        <v>96018.290000000008</v>
      </c>
      <c r="F71" s="20">
        <f t="shared" si="11"/>
        <v>99618.97</v>
      </c>
      <c r="G71" s="20">
        <f t="shared" si="11"/>
        <v>103354.69</v>
      </c>
      <c r="H71" s="21">
        <f>G74</f>
        <v>107230.49999999991</v>
      </c>
    </row>
    <row r="72" spans="1:14" ht="14.25" customHeight="1" x14ac:dyDescent="0.2">
      <c r="A72" s="19" t="s">
        <v>21</v>
      </c>
      <c r="B72" s="20"/>
      <c r="C72" s="20">
        <f>ROUND(C70*$B$66/2,2)</f>
        <v>22048.98</v>
      </c>
      <c r="D72" s="20">
        <f>ROUND(D70*$B$66/2,2)</f>
        <v>18703.88</v>
      </c>
      <c r="E72" s="20">
        <f>ROUND(E70*$B$66/2,2)</f>
        <v>15233.34</v>
      </c>
      <c r="F72" s="20">
        <f>ROUND(F70*$B$66/2,2)</f>
        <v>11632.66</v>
      </c>
      <c r="G72" s="20">
        <f>ROUND(G70*$B$66/2,2)</f>
        <v>7896.94</v>
      </c>
      <c r="H72" s="21">
        <f>ROUND(H70*$B$66/2,2)</f>
        <v>4021.14</v>
      </c>
    </row>
    <row r="73" spans="1:14" ht="14.25" customHeight="1" x14ac:dyDescent="0.2">
      <c r="A73" s="19" t="s">
        <v>22</v>
      </c>
      <c r="B73" s="20"/>
      <c r="C73" s="20">
        <f>B61</f>
        <v>111251.63</v>
      </c>
      <c r="D73" s="20">
        <f>C73</f>
        <v>111251.63</v>
      </c>
      <c r="E73" s="20">
        <f t="shared" ref="E73:H73" si="12">D73</f>
        <v>111251.63</v>
      </c>
      <c r="F73" s="20">
        <f t="shared" si="12"/>
        <v>111251.63</v>
      </c>
      <c r="G73" s="20">
        <f t="shared" si="12"/>
        <v>111251.63</v>
      </c>
      <c r="H73" s="21">
        <f t="shared" si="12"/>
        <v>111251.63</v>
      </c>
    </row>
    <row r="74" spans="1:14" ht="14.25" customHeight="1" x14ac:dyDescent="0.2">
      <c r="A74" s="19" t="s">
        <v>23</v>
      </c>
      <c r="B74" s="20">
        <f>B70-B71</f>
        <v>587972.85</v>
      </c>
      <c r="C74" s="20">
        <f>C70-C71</f>
        <v>498770.19999999995</v>
      </c>
      <c r="D74" s="20">
        <f>D70-D71</f>
        <v>406222.44999999995</v>
      </c>
      <c r="E74" s="20">
        <f t="shared" ref="E74:H74" si="13">E70-E71</f>
        <v>310204.15999999992</v>
      </c>
      <c r="F74" s="20">
        <f t="shared" si="13"/>
        <v>210585.18999999992</v>
      </c>
      <c r="G74" s="20">
        <f t="shared" si="13"/>
        <v>107230.49999999991</v>
      </c>
      <c r="H74" s="21">
        <f t="shared" si="13"/>
        <v>0</v>
      </c>
    </row>
    <row r="75" spans="1:14" ht="14.25" customHeight="1" x14ac:dyDescent="0.2">
      <c r="A75" s="19" t="s">
        <v>24</v>
      </c>
      <c r="B75" s="20"/>
      <c r="C75" s="20"/>
      <c r="D75" s="20">
        <f>ROUND(SUM(C72:D72)*$B$10,2)</f>
        <v>10188.219999999999</v>
      </c>
      <c r="E75" s="20"/>
      <c r="F75" s="20">
        <f>ROUND(SUM(E72:F72)*$B$10,2)</f>
        <v>6716.5</v>
      </c>
      <c r="G75" s="20"/>
      <c r="H75" s="21">
        <f>ROUND(SUM(G72:H72)*$B$10,2)</f>
        <v>2979.52</v>
      </c>
    </row>
    <row r="76" spans="1:14" ht="14.25" customHeight="1" x14ac:dyDescent="0.2">
      <c r="A76" s="19" t="s">
        <v>71</v>
      </c>
      <c r="B76" s="20">
        <f>B69-B71-B72+B75</f>
        <v>600000</v>
      </c>
      <c r="C76" s="20">
        <f>C69-C71-C72+C75</f>
        <v>-111251.63</v>
      </c>
      <c r="D76" s="20">
        <f t="shared" ref="D76:H76" si="14">D69-D71-D72+D75</f>
        <v>-101063.41</v>
      </c>
      <c r="E76" s="20">
        <f t="shared" si="14"/>
        <v>-111251.63</v>
      </c>
      <c r="F76" s="20">
        <f t="shared" si="14"/>
        <v>-104535.13</v>
      </c>
      <c r="G76" s="20">
        <f t="shared" si="14"/>
        <v>-111251.63</v>
      </c>
      <c r="H76" s="21">
        <f t="shared" si="14"/>
        <v>-108272.11999999991</v>
      </c>
      <c r="J76" s="49">
        <f>IRR(B76:H76)</f>
        <v>2.2226670252480041E-2</v>
      </c>
      <c r="K76" s="8" t="s">
        <v>73</v>
      </c>
      <c r="M76" s="49">
        <f>IRR(B77:H77)</f>
        <v>2.8598896521186745E-2</v>
      </c>
      <c r="N76" s="8" t="s">
        <v>73</v>
      </c>
    </row>
    <row r="77" spans="1:14" ht="14.25" customHeight="1" x14ac:dyDescent="0.2">
      <c r="A77" s="22" t="s">
        <v>72</v>
      </c>
      <c r="B77" s="50">
        <f>B69-B71-B72+B75</f>
        <v>600000</v>
      </c>
      <c r="C77" s="50">
        <f t="shared" ref="C77:G77" si="15">C69-C71-C72+C75</f>
        <v>-111251.63</v>
      </c>
      <c r="D77" s="50">
        <f t="shared" si="15"/>
        <v>-101063.41</v>
      </c>
      <c r="E77" s="50">
        <f t="shared" si="15"/>
        <v>-111251.63</v>
      </c>
      <c r="F77" s="50">
        <f t="shared" si="15"/>
        <v>-104535.13</v>
      </c>
      <c r="G77" s="50">
        <f t="shared" si="15"/>
        <v>-111251.63</v>
      </c>
      <c r="H77" s="51">
        <f>H69-H71-H72+H75-C62</f>
        <v>-123272.11999999991</v>
      </c>
      <c r="J77" s="47">
        <f>(1+J76)^2-1</f>
        <v>4.4947365375472614E-2</v>
      </c>
      <c r="K77" s="10" t="s">
        <v>74</v>
      </c>
      <c r="M77" s="47">
        <f>(1+M76)^2-1</f>
        <v>5.8015689924602931E-2</v>
      </c>
      <c r="N77" s="10" t="s">
        <v>74</v>
      </c>
    </row>
    <row r="81" spans="1:10" ht="14.25" customHeight="1" x14ac:dyDescent="0.2">
      <c r="A81" s="33" t="s">
        <v>108</v>
      </c>
      <c r="B81" s="34"/>
      <c r="C81" s="34"/>
      <c r="D81" s="34"/>
      <c r="E81" s="34"/>
      <c r="F81" s="34"/>
      <c r="G81" s="34"/>
      <c r="H81" s="35"/>
    </row>
    <row r="82" spans="1:10" ht="14.25" customHeight="1" x14ac:dyDescent="0.2">
      <c r="A82" s="19"/>
      <c r="B82" s="36">
        <v>120000</v>
      </c>
      <c r="C82" s="36" t="s">
        <v>75</v>
      </c>
      <c r="D82" s="36"/>
      <c r="E82" s="36"/>
      <c r="F82" s="36"/>
      <c r="G82" s="36"/>
      <c r="H82" s="37"/>
    </row>
    <row r="83" spans="1:10" ht="14.25" customHeight="1" x14ac:dyDescent="0.2">
      <c r="A83" s="19" t="s">
        <v>76</v>
      </c>
      <c r="B83" s="53">
        <v>5</v>
      </c>
      <c r="C83" s="36"/>
      <c r="D83" s="36"/>
      <c r="E83" s="20">
        <f>B83*B82</f>
        <v>600000</v>
      </c>
      <c r="F83" s="36"/>
      <c r="G83" s="36" t="s">
        <v>77</v>
      </c>
      <c r="H83" s="21">
        <f>E84-E83</f>
        <v>12000</v>
      </c>
    </row>
    <row r="84" spans="1:10" ht="14.25" customHeight="1" x14ac:dyDescent="0.2">
      <c r="A84" s="19" t="s">
        <v>78</v>
      </c>
      <c r="B84" s="36">
        <v>5.0999999999999996</v>
      </c>
      <c r="C84" s="36"/>
      <c r="D84" s="36"/>
      <c r="E84" s="20">
        <f>B84*B82</f>
        <v>612000</v>
      </c>
      <c r="F84" s="36"/>
      <c r="G84" s="36"/>
      <c r="H84" s="37"/>
    </row>
    <row r="85" spans="1:10" ht="14.25" customHeight="1" x14ac:dyDescent="0.2">
      <c r="A85" s="19" t="s">
        <v>79</v>
      </c>
      <c r="B85" s="39">
        <v>5.5E-2</v>
      </c>
      <c r="C85" s="36"/>
      <c r="D85" s="36"/>
      <c r="E85" s="36"/>
      <c r="F85" s="36"/>
      <c r="G85" s="36"/>
      <c r="H85" s="37"/>
    </row>
    <row r="86" spans="1:10" ht="14.25" customHeight="1" x14ac:dyDescent="0.2">
      <c r="A86" s="19" t="s">
        <v>80</v>
      </c>
      <c r="B86" s="36"/>
      <c r="C86" s="36"/>
      <c r="D86" s="36"/>
      <c r="E86" s="36"/>
      <c r="F86" s="36"/>
      <c r="G86" s="36"/>
      <c r="H86" s="37"/>
    </row>
    <row r="87" spans="1:10" ht="14.25" customHeight="1" x14ac:dyDescent="0.2">
      <c r="A87" s="19" t="s">
        <v>7</v>
      </c>
      <c r="B87" s="39">
        <v>0.25</v>
      </c>
      <c r="C87" s="39"/>
      <c r="D87" s="39"/>
      <c r="E87" s="36"/>
      <c r="F87" s="39"/>
      <c r="G87" s="36"/>
      <c r="H87" s="40"/>
      <c r="J87" s="3"/>
    </row>
    <row r="88" spans="1:10" ht="14.25" customHeight="1" x14ac:dyDescent="0.2">
      <c r="A88" s="19" t="s">
        <v>81</v>
      </c>
      <c r="B88" s="36">
        <v>0.125</v>
      </c>
      <c r="C88" s="53">
        <f>B82*B88</f>
        <v>15000</v>
      </c>
      <c r="D88" s="36"/>
      <c r="E88" s="36"/>
      <c r="F88" s="36"/>
      <c r="G88" s="36"/>
      <c r="H88" s="37"/>
    </row>
    <row r="89" spans="1:10" ht="14.25" customHeight="1" x14ac:dyDescent="0.2">
      <c r="A89" s="22" t="s">
        <v>82</v>
      </c>
      <c r="B89" s="54">
        <v>1.7500000000000002E-2</v>
      </c>
      <c r="C89" s="55">
        <f>E83*B89</f>
        <v>10500.000000000002</v>
      </c>
      <c r="D89" s="43"/>
      <c r="E89" s="43"/>
      <c r="F89" s="43"/>
      <c r="G89" s="43"/>
      <c r="H89" s="45"/>
    </row>
    <row r="91" spans="1:10" ht="14.25" customHeight="1" x14ac:dyDescent="0.2">
      <c r="A91" s="13"/>
      <c r="B91" s="14">
        <v>0</v>
      </c>
      <c r="C91" s="14" t="s">
        <v>83</v>
      </c>
      <c r="D91" s="14" t="s">
        <v>84</v>
      </c>
      <c r="E91" s="14" t="s">
        <v>85</v>
      </c>
      <c r="F91" s="14" t="s">
        <v>86</v>
      </c>
      <c r="G91" s="14" t="s">
        <v>87</v>
      </c>
      <c r="H91" s="14" t="s">
        <v>88</v>
      </c>
      <c r="I91" s="14" t="s">
        <v>89</v>
      </c>
      <c r="J91" s="15" t="s">
        <v>90</v>
      </c>
    </row>
    <row r="92" spans="1:10" ht="14.25" customHeight="1" x14ac:dyDescent="0.2">
      <c r="A92" s="16" t="s">
        <v>18</v>
      </c>
      <c r="B92" s="17">
        <f>E84</f>
        <v>612000</v>
      </c>
      <c r="C92" s="17"/>
      <c r="D92" s="17"/>
      <c r="E92" s="17"/>
      <c r="F92" s="17"/>
      <c r="G92" s="17"/>
      <c r="H92" s="17"/>
      <c r="I92" s="34"/>
      <c r="J92" s="35"/>
    </row>
    <row r="93" spans="1:10" ht="14.25" customHeight="1" x14ac:dyDescent="0.2">
      <c r="A93" s="19" t="s">
        <v>19</v>
      </c>
      <c r="B93" s="20"/>
      <c r="C93" s="20">
        <f>E83</f>
        <v>600000</v>
      </c>
      <c r="D93" s="20">
        <f>C96</f>
        <v>600000</v>
      </c>
      <c r="E93" s="20">
        <f t="shared" ref="E93:J93" si="16">D96</f>
        <v>450000</v>
      </c>
      <c r="F93" s="20">
        <f t="shared" si="16"/>
        <v>450000</v>
      </c>
      <c r="G93" s="20">
        <f t="shared" si="16"/>
        <v>300000</v>
      </c>
      <c r="H93" s="20">
        <f t="shared" si="16"/>
        <v>300000</v>
      </c>
      <c r="I93" s="20">
        <f t="shared" si="16"/>
        <v>150000</v>
      </c>
      <c r="J93" s="21">
        <f t="shared" si="16"/>
        <v>150000</v>
      </c>
    </row>
    <row r="94" spans="1:10" ht="14.25" customHeight="1" x14ac:dyDescent="0.2">
      <c r="A94" s="19" t="s">
        <v>20</v>
      </c>
      <c r="B94" s="20"/>
      <c r="C94" s="20"/>
      <c r="D94" s="20">
        <f>$E$83*B87</f>
        <v>150000</v>
      </c>
      <c r="E94" s="20"/>
      <c r="F94" s="20">
        <f>$E$83*B87</f>
        <v>150000</v>
      </c>
      <c r="G94" s="20"/>
      <c r="H94" s="20">
        <f>$E$83*B87</f>
        <v>150000</v>
      </c>
      <c r="I94" s="56"/>
      <c r="J94" s="21">
        <f>$E$83*B87</f>
        <v>150000</v>
      </c>
    </row>
    <row r="95" spans="1:10" ht="14.25" customHeight="1" x14ac:dyDescent="0.2">
      <c r="A95" s="19" t="s">
        <v>21</v>
      </c>
      <c r="B95" s="20"/>
      <c r="C95" s="20">
        <f>C93*$B$85/4</f>
        <v>8250</v>
      </c>
      <c r="D95" s="20">
        <f>D93*$B$85/4</f>
        <v>8250</v>
      </c>
      <c r="E95" s="20">
        <f>E93*$B$85/4</f>
        <v>6187.5</v>
      </c>
      <c r="F95" s="20">
        <f>F93*$B$85/4</f>
        <v>6187.5</v>
      </c>
      <c r="G95" s="20">
        <f>G93*$B$85/4</f>
        <v>4125</v>
      </c>
      <c r="H95" s="20">
        <f>H93*$B$85/4</f>
        <v>4125</v>
      </c>
      <c r="I95" s="20">
        <f>I93*$B$85/4</f>
        <v>2062.5</v>
      </c>
      <c r="J95" s="21">
        <f>J93*$B$85/4</f>
        <v>2062.5</v>
      </c>
    </row>
    <row r="96" spans="1:10" ht="14.25" customHeight="1" x14ac:dyDescent="0.2">
      <c r="A96" s="19" t="s">
        <v>91</v>
      </c>
      <c r="B96" s="20">
        <f t="shared" ref="B96:J96" si="17">B93-B94</f>
        <v>0</v>
      </c>
      <c r="C96" s="20">
        <f t="shared" si="17"/>
        <v>600000</v>
      </c>
      <c r="D96" s="20">
        <f t="shared" si="17"/>
        <v>450000</v>
      </c>
      <c r="E96" s="20">
        <f t="shared" si="17"/>
        <v>450000</v>
      </c>
      <c r="F96" s="20">
        <f t="shared" si="17"/>
        <v>300000</v>
      </c>
      <c r="G96" s="20">
        <f t="shared" si="17"/>
        <v>300000</v>
      </c>
      <c r="H96" s="20">
        <f t="shared" si="17"/>
        <v>150000</v>
      </c>
      <c r="I96" s="20">
        <f t="shared" si="17"/>
        <v>150000</v>
      </c>
      <c r="J96" s="21">
        <f t="shared" si="17"/>
        <v>0</v>
      </c>
    </row>
    <row r="97" spans="1:13" ht="14.25" customHeight="1" x14ac:dyDescent="0.2">
      <c r="A97" s="19" t="s">
        <v>92</v>
      </c>
      <c r="B97" s="20"/>
      <c r="C97" s="20"/>
      <c r="D97" s="20">
        <f>SUM(C95:D95)*$B$10</f>
        <v>4125</v>
      </c>
      <c r="E97" s="20"/>
      <c r="F97" s="20">
        <f>SUM(E95:F95)*$B$10</f>
        <v>3093.75</v>
      </c>
      <c r="G97" s="20"/>
      <c r="H97" s="20">
        <f>SUM(G95:H95)*$B$10</f>
        <v>2062.5</v>
      </c>
      <c r="I97" s="36"/>
      <c r="J97" s="21">
        <f>SUM(I95:J95)*$B$10</f>
        <v>1031.25</v>
      </c>
    </row>
    <row r="98" spans="1:13" ht="14.25" customHeight="1" x14ac:dyDescent="0.2">
      <c r="A98" s="19" t="s">
        <v>93</v>
      </c>
      <c r="B98" s="20">
        <f>C89</f>
        <v>10500.000000000002</v>
      </c>
      <c r="C98" s="20"/>
      <c r="D98" s="20"/>
      <c r="E98" s="20"/>
      <c r="F98" s="20"/>
      <c r="G98" s="20"/>
      <c r="H98" s="20"/>
      <c r="I98" s="36"/>
      <c r="J98" s="57"/>
    </row>
    <row r="99" spans="1:13" ht="14.25" customHeight="1" x14ac:dyDescent="0.2">
      <c r="A99" s="19" t="s">
        <v>94</v>
      </c>
      <c r="B99" s="20"/>
      <c r="C99" s="20"/>
      <c r="D99" s="20"/>
      <c r="E99" s="20"/>
      <c r="F99" s="20">
        <f>SUM(B98)*$B$10/2</f>
        <v>1312.5000000000002</v>
      </c>
      <c r="G99" s="20"/>
      <c r="H99" s="20"/>
      <c r="I99" s="36"/>
      <c r="J99" s="21">
        <f>F99</f>
        <v>1312.5000000000002</v>
      </c>
    </row>
    <row r="100" spans="1:13" ht="14.25" customHeight="1" x14ac:dyDescent="0.2">
      <c r="A100" s="19" t="s">
        <v>95</v>
      </c>
      <c r="B100" s="20"/>
      <c r="C100" s="20"/>
      <c r="D100" s="20"/>
      <c r="E100" s="20"/>
      <c r="F100" s="20">
        <f>SUM(H83)*$B$10/2</f>
        <v>1500</v>
      </c>
      <c r="G100" s="20"/>
      <c r="H100" s="20"/>
      <c r="I100" s="36"/>
      <c r="J100" s="21">
        <f>F100</f>
        <v>1500</v>
      </c>
    </row>
    <row r="101" spans="1:13" ht="14.25" customHeight="1" x14ac:dyDescent="0.2">
      <c r="A101" s="19" t="s">
        <v>96</v>
      </c>
      <c r="B101" s="20"/>
      <c r="C101" s="20"/>
      <c r="D101" s="20">
        <f>$C$88*B87</f>
        <v>3750</v>
      </c>
      <c r="E101" s="20"/>
      <c r="F101" s="20">
        <f>$C$88*B87</f>
        <v>3750</v>
      </c>
      <c r="G101" s="20"/>
      <c r="H101" s="20">
        <f>$C$88*B87</f>
        <v>3750</v>
      </c>
      <c r="I101" s="36"/>
      <c r="J101" s="21">
        <f>$C$88*B87</f>
        <v>3750</v>
      </c>
    </row>
    <row r="102" spans="1:13" ht="14.25" customHeight="1" x14ac:dyDescent="0.2">
      <c r="A102" s="19" t="s">
        <v>97</v>
      </c>
      <c r="B102" s="20"/>
      <c r="C102" s="20"/>
      <c r="D102" s="20"/>
      <c r="E102" s="20"/>
      <c r="F102" s="20">
        <f>SUM(C101:J101)*$B$10/2</f>
        <v>1875</v>
      </c>
      <c r="G102" s="20"/>
      <c r="H102" s="20"/>
      <c r="I102" s="36"/>
      <c r="J102" s="21">
        <f>F102</f>
        <v>1875</v>
      </c>
      <c r="L102" s="2">
        <f>IRR(B103:J103)</f>
        <v>1.3624033705799121E-2</v>
      </c>
      <c r="M102" s="1" t="s">
        <v>99</v>
      </c>
    </row>
    <row r="103" spans="1:13" ht="14.25" customHeight="1" x14ac:dyDescent="0.2">
      <c r="A103" s="22" t="s">
        <v>98</v>
      </c>
      <c r="B103" s="23">
        <f t="shared" ref="B103:J103" si="18">B92-B94-B95+B97-B98+B99-B100-B101+B102</f>
        <v>601500</v>
      </c>
      <c r="C103" s="23">
        <f t="shared" si="18"/>
        <v>-8250</v>
      </c>
      <c r="D103" s="23">
        <f t="shared" si="18"/>
        <v>-157875</v>
      </c>
      <c r="E103" s="23">
        <f t="shared" si="18"/>
        <v>-6187.5</v>
      </c>
      <c r="F103" s="23">
        <f t="shared" si="18"/>
        <v>-155156.25</v>
      </c>
      <c r="G103" s="23">
        <f t="shared" si="18"/>
        <v>-4125</v>
      </c>
      <c r="H103" s="23">
        <f t="shared" si="18"/>
        <v>-155812.5</v>
      </c>
      <c r="I103" s="23">
        <f t="shared" si="18"/>
        <v>-2062.5</v>
      </c>
      <c r="J103" s="24">
        <f t="shared" si="18"/>
        <v>-153093.75</v>
      </c>
      <c r="L103" s="6">
        <f>(1+L102)^4-1</f>
        <v>5.5619970303977029E-2</v>
      </c>
      <c r="M103" s="1" t="s">
        <v>74</v>
      </c>
    </row>
  </sheetData>
  <sheetProtection algorithmName="SHA-512" hashValue="MbzAgG+neExt2UvJjIW8zh2Fdqtee5vkONFz2HVp3TLQ7aD+LfZAycAU29vRt1lW4hMmjmfUAd9w3PDadQiUJA==" saltValue="vI9mLrSLdt4+/a/5iQjwW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Ferreira</dc:creator>
  <cp:lastModifiedBy>Paulo Ferreira</cp:lastModifiedBy>
  <dcterms:created xsi:type="dcterms:W3CDTF">2014-08-23T20:37:19Z</dcterms:created>
  <dcterms:modified xsi:type="dcterms:W3CDTF">2014-09-28T19:48:04Z</dcterms:modified>
</cp:coreProperties>
</file>